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 activeTab="1"/>
  </bookViews>
  <sheets>
    <sheet name="Mode-emploi" sheetId="1" r:id="rId1"/>
    <sheet name="Saisie" sheetId="2" r:id="rId2"/>
  </sheets>
  <definedNames>
    <definedName name="âge">Saisie!$AF$41:$AF$49</definedName>
    <definedName name="Jour">Saisie!$AO$10:$AO$40</definedName>
    <definedName name="Mois">Saisie!$AP$10:$AP$21</definedName>
  </definedNames>
  <calcPr calcId="125725"/>
</workbook>
</file>

<file path=xl/calcChain.xml><?xml version="1.0" encoding="utf-8"?>
<calcChain xmlns="http://schemas.openxmlformats.org/spreadsheetml/2006/main">
  <c r="V2" i="2"/>
  <c r="W2"/>
  <c r="Z2"/>
  <c r="V3"/>
  <c r="W3"/>
  <c r="Z3"/>
  <c r="V4"/>
  <c r="W4"/>
  <c r="Z4"/>
  <c r="V5"/>
  <c r="W5"/>
  <c r="Z5"/>
  <c r="V6"/>
  <c r="W6"/>
  <c r="Z6"/>
  <c r="V7"/>
  <c r="W7"/>
  <c r="Z7"/>
  <c r="V8"/>
  <c r="W8"/>
  <c r="Z8"/>
  <c r="V9"/>
  <c r="W9"/>
  <c r="Z9"/>
  <c r="V10"/>
  <c r="W10"/>
  <c r="Z10"/>
  <c r="V11"/>
  <c r="W11"/>
  <c r="Z11"/>
  <c r="V12"/>
  <c r="W12"/>
  <c r="Z12"/>
  <c r="V13"/>
  <c r="W13"/>
  <c r="Z13"/>
  <c r="V14"/>
  <c r="W14"/>
  <c r="Z14"/>
  <c r="V15"/>
  <c r="W15"/>
  <c r="Z15"/>
  <c r="V16"/>
  <c r="W16"/>
  <c r="Z16"/>
  <c r="V17"/>
  <c r="W17"/>
  <c r="Z17"/>
  <c r="AF17"/>
  <c r="V18"/>
  <c r="W18"/>
  <c r="Z18"/>
  <c r="AF18"/>
  <c r="V19"/>
  <c r="W19"/>
  <c r="Z19"/>
  <c r="AF19"/>
  <c r="V20"/>
  <c r="W20"/>
  <c r="Z20"/>
  <c r="AF20"/>
  <c r="V21"/>
  <c r="W21"/>
  <c r="Z21"/>
  <c r="AF21"/>
  <c r="V22"/>
  <c r="W22"/>
  <c r="Z22"/>
  <c r="AM22"/>
  <c r="AF22" s="1"/>
  <c r="V23"/>
  <c r="W23"/>
  <c r="Z23"/>
  <c r="V24"/>
  <c r="W24"/>
  <c r="Z24"/>
  <c r="AF24"/>
  <c r="V25"/>
  <c r="W25"/>
  <c r="Z25"/>
  <c r="V26"/>
  <c r="W26"/>
  <c r="Z26"/>
  <c r="V27"/>
  <c r="W27"/>
  <c r="Z27"/>
  <c r="AF27"/>
  <c r="V28"/>
  <c r="W28"/>
  <c r="Z28"/>
  <c r="AE28"/>
  <c r="AC2" s="1"/>
  <c r="AF28"/>
  <c r="V29"/>
  <c r="W29"/>
  <c r="Z29"/>
  <c r="AE29"/>
  <c r="AF29"/>
  <c r="V30"/>
  <c r="W30"/>
  <c r="Z30"/>
  <c r="AC30"/>
  <c r="V31"/>
  <c r="W31"/>
  <c r="Z31"/>
  <c r="AC31"/>
  <c r="V32"/>
  <c r="W32"/>
  <c r="Z32"/>
  <c r="AC32"/>
  <c r="V33"/>
  <c r="W33"/>
  <c r="Z33"/>
  <c r="AC33"/>
  <c r="V34"/>
  <c r="W34"/>
  <c r="Z34"/>
  <c r="AC34"/>
  <c r="AG34"/>
  <c r="V35"/>
  <c r="W35"/>
  <c r="Z35"/>
  <c r="AC35"/>
  <c r="V36"/>
  <c r="W36"/>
  <c r="Z36"/>
  <c r="AC36"/>
  <c r="V37"/>
  <c r="W37"/>
  <c r="Z37"/>
  <c r="AC37"/>
  <c r="V38"/>
  <c r="W38"/>
  <c r="Z38"/>
  <c r="AC38"/>
  <c r="V39"/>
  <c r="W39"/>
  <c r="Z39"/>
  <c r="AC39"/>
  <c r="V40"/>
  <c r="W40"/>
  <c r="Z40"/>
  <c r="AC40"/>
  <c r="V41"/>
  <c r="W41"/>
  <c r="Z41"/>
  <c r="AC41"/>
  <c r="V42"/>
  <c r="W42"/>
  <c r="Z42"/>
  <c r="AC42"/>
  <c r="V43"/>
  <c r="W43"/>
  <c r="Z43"/>
  <c r="AC43"/>
  <c r="V44"/>
  <c r="W44"/>
  <c r="Z44"/>
  <c r="AC44"/>
  <c r="V45"/>
  <c r="W45"/>
  <c r="Z45"/>
  <c r="AC45"/>
  <c r="V46"/>
  <c r="W46"/>
  <c r="Z46"/>
  <c r="AC46"/>
  <c r="V47"/>
  <c r="Y46" s="1"/>
  <c r="AA46" s="1"/>
  <c r="AB46" s="1"/>
  <c r="AD46" s="1"/>
  <c r="W47"/>
  <c r="Y47"/>
  <c r="Z47"/>
  <c r="AA47"/>
  <c r="AB47" s="1"/>
  <c r="AD47" s="1"/>
  <c r="AC47"/>
  <c r="Y48"/>
  <c r="Z48"/>
  <c r="AA48"/>
  <c r="AB48" s="1"/>
  <c r="AD48" s="1"/>
  <c r="AC48"/>
  <c r="Y49"/>
  <c r="Z49"/>
  <c r="AA49"/>
  <c r="AB49" s="1"/>
  <c r="AD49" s="1"/>
  <c r="AC49"/>
  <c r="Y50"/>
  <c r="Z50"/>
  <c r="AA50"/>
  <c r="AB50" s="1"/>
  <c r="AD50" s="1"/>
  <c r="AC50"/>
  <c r="AG50"/>
  <c r="Z51"/>
  <c r="AC51"/>
  <c r="Z52"/>
  <c r="AC52"/>
  <c r="Z53"/>
  <c r="AC53"/>
  <c r="Z54"/>
  <c r="AC54"/>
  <c r="AJ54"/>
  <c r="Z55"/>
  <c r="AC55"/>
  <c r="Z56"/>
  <c r="AC56"/>
  <c r="Z57"/>
  <c r="AC57"/>
  <c r="Z58"/>
  <c r="AC58"/>
  <c r="Z59"/>
  <c r="AC59"/>
  <c r="Z60"/>
  <c r="AC60"/>
  <c r="AK60"/>
  <c r="Y61"/>
  <c r="AA61" s="1"/>
  <c r="AB61" s="1"/>
  <c r="Z61"/>
  <c r="AC61"/>
  <c r="AK61"/>
  <c r="Z62"/>
  <c r="AC62"/>
  <c r="Y63"/>
  <c r="Z63"/>
  <c r="AC63"/>
  <c r="Y64"/>
  <c r="Z64"/>
  <c r="AA64" s="1"/>
  <c r="AB64" s="1"/>
  <c r="AD64" s="1"/>
  <c r="AC64"/>
  <c r="Y65"/>
  <c r="Z65"/>
  <c r="AC65"/>
  <c r="Y66"/>
  <c r="Z66"/>
  <c r="AA66" s="1"/>
  <c r="AB66" s="1"/>
  <c r="AD66" s="1"/>
  <c r="AC66"/>
  <c r="Y67"/>
  <c r="Z67"/>
  <c r="AC67"/>
  <c r="B68"/>
  <c r="AF54" s="1"/>
  <c r="Y68"/>
  <c r="Z68"/>
  <c r="AC68"/>
  <c r="Y69"/>
  <c r="Z69"/>
  <c r="AC69"/>
  <c r="J70"/>
  <c r="Y70"/>
  <c r="Z70"/>
  <c r="AA70" s="1"/>
  <c r="AB70" s="1"/>
  <c r="AD70" s="1"/>
  <c r="AC70"/>
  <c r="Y71"/>
  <c r="Z71"/>
  <c r="AC71"/>
  <c r="Y72"/>
  <c r="Z72"/>
  <c r="AA72" s="1"/>
  <c r="AB72" s="1"/>
  <c r="AD72" s="1"/>
  <c r="AC72"/>
  <c r="Y73"/>
  <c r="AA73" s="1"/>
  <c r="AB73" s="1"/>
  <c r="Z73"/>
  <c r="AC73"/>
  <c r="Y74"/>
  <c r="Z74"/>
  <c r="AA74" s="1"/>
  <c r="AB74" s="1"/>
  <c r="AD74" s="1"/>
  <c r="AC74"/>
  <c r="Y75"/>
  <c r="Z75"/>
  <c r="AC75"/>
  <c r="Y76"/>
  <c r="Z76"/>
  <c r="AA76" s="1"/>
  <c r="AB76" s="1"/>
  <c r="AD76" s="1"/>
  <c r="AC76"/>
  <c r="Y77"/>
  <c r="Z77"/>
  <c r="AC77"/>
  <c r="Y78"/>
  <c r="Z78"/>
  <c r="AA78" s="1"/>
  <c r="AB78" s="1"/>
  <c r="AD78" s="1"/>
  <c r="AC78"/>
  <c r="Y79"/>
  <c r="Z79"/>
  <c r="AC79"/>
  <c r="AD73" l="1"/>
  <c r="AD61"/>
  <c r="AF31"/>
  <c r="Y45"/>
  <c r="AA45" s="1"/>
  <c r="AB45" s="1"/>
  <c r="AD45" s="1"/>
  <c r="Y44"/>
  <c r="AA44" s="1"/>
  <c r="AB44" s="1"/>
  <c r="AD44" s="1"/>
  <c r="Y43"/>
  <c r="AA43" s="1"/>
  <c r="AB43" s="1"/>
  <c r="AD43" s="1"/>
  <c r="Y42"/>
  <c r="AA42" s="1"/>
  <c r="AB42" s="1"/>
  <c r="AD42" s="1"/>
  <c r="Y41"/>
  <c r="AA41" s="1"/>
  <c r="AB41" s="1"/>
  <c r="AD41" s="1"/>
  <c r="Y40"/>
  <c r="AA40" s="1"/>
  <c r="AB40" s="1"/>
  <c r="AD40" s="1"/>
  <c r="Y39"/>
  <c r="AA39" s="1"/>
  <c r="AB39" s="1"/>
  <c r="AD39" s="1"/>
  <c r="Y38"/>
  <c r="AA38" s="1"/>
  <c r="AB38" s="1"/>
  <c r="AD38" s="1"/>
  <c r="Y36"/>
  <c r="AA36" s="1"/>
  <c r="AB36" s="1"/>
  <c r="AD36" s="1"/>
  <c r="Y34"/>
  <c r="AA34" s="1"/>
  <c r="AB34" s="1"/>
  <c r="AD34" s="1"/>
  <c r="AC29"/>
  <c r="Y25"/>
  <c r="AA25" s="1"/>
  <c r="AB25" s="1"/>
  <c r="Y24"/>
  <c r="AA24" s="1"/>
  <c r="AB24" s="1"/>
  <c r="AD24" s="1"/>
  <c r="AC24"/>
  <c r="AC23"/>
  <c r="Y14"/>
  <c r="AA14" s="1"/>
  <c r="AB14" s="1"/>
  <c r="Y12"/>
  <c r="AA12" s="1"/>
  <c r="AB12" s="1"/>
  <c r="Y10"/>
  <c r="AA10" s="1"/>
  <c r="AB10" s="1"/>
  <c r="Y8"/>
  <c r="AA8" s="1"/>
  <c r="AB8" s="1"/>
  <c r="Y6"/>
  <c r="AA6" s="1"/>
  <c r="AB6" s="1"/>
  <c r="Y4"/>
  <c r="AA4" s="1"/>
  <c r="AB4" s="1"/>
  <c r="Y3"/>
  <c r="AA3" s="1"/>
  <c r="AB3" s="1"/>
  <c r="AA79"/>
  <c r="AB79" s="1"/>
  <c r="AD79" s="1"/>
  <c r="AA77"/>
  <c r="AB77" s="1"/>
  <c r="AD77" s="1"/>
  <c r="AA75"/>
  <c r="AB75" s="1"/>
  <c r="AD75" s="1"/>
  <c r="AA71"/>
  <c r="AB71" s="1"/>
  <c r="AD71" s="1"/>
  <c r="AA69"/>
  <c r="AB69" s="1"/>
  <c r="AD69" s="1"/>
  <c r="AA68"/>
  <c r="AB68" s="1"/>
  <c r="AD68" s="1"/>
  <c r="AA67"/>
  <c r="AB67" s="1"/>
  <c r="AD67" s="1"/>
  <c r="AA65"/>
  <c r="AB65" s="1"/>
  <c r="AD65" s="1"/>
  <c r="AA63"/>
  <c r="AB63" s="1"/>
  <c r="AD63" s="1"/>
  <c r="Y55"/>
  <c r="AA55" s="1"/>
  <c r="AB55" s="1"/>
  <c r="AD55" s="1"/>
  <c r="Y54"/>
  <c r="AA54" s="1"/>
  <c r="AB54" s="1"/>
  <c r="AD54" s="1"/>
  <c r="Y33"/>
  <c r="AA33" s="1"/>
  <c r="AB33" s="1"/>
  <c r="AD33" s="1"/>
  <c r="Y32"/>
  <c r="AA32" s="1"/>
  <c r="AB32" s="1"/>
  <c r="AD32" s="1"/>
  <c r="Y26"/>
  <c r="AA26" s="1"/>
  <c r="AB26" s="1"/>
  <c r="AC26"/>
  <c r="AC25"/>
  <c r="Y23"/>
  <c r="AA23" s="1"/>
  <c r="AB23" s="1"/>
  <c r="AD23" s="1"/>
  <c r="Y22"/>
  <c r="AA22" s="1"/>
  <c r="AB22" s="1"/>
  <c r="Y21"/>
  <c r="AA21" s="1"/>
  <c r="AB21" s="1"/>
  <c r="Y16"/>
  <c r="AA16" s="1"/>
  <c r="AB16" s="1"/>
  <c r="Y2"/>
  <c r="AA2" s="1"/>
  <c r="AB2" s="1"/>
  <c r="AD2" s="1"/>
  <c r="AF23"/>
  <c r="AF25"/>
  <c r="Y62"/>
  <c r="AA62" s="1"/>
  <c r="AB62" s="1"/>
  <c r="AD62" s="1"/>
  <c r="Y60"/>
  <c r="AA60" s="1"/>
  <c r="AB60" s="1"/>
  <c r="AD60" s="1"/>
  <c r="Y59"/>
  <c r="AA59" s="1"/>
  <c r="AB59" s="1"/>
  <c r="AD59" s="1"/>
  <c r="Y58"/>
  <c r="AA58" s="1"/>
  <c r="AB58" s="1"/>
  <c r="AD58" s="1"/>
  <c r="Y57"/>
  <c r="AA57" s="1"/>
  <c r="AB57" s="1"/>
  <c r="AD57" s="1"/>
  <c r="Y56"/>
  <c r="AA56" s="1"/>
  <c r="AB56" s="1"/>
  <c r="AD56" s="1"/>
  <c r="Y53"/>
  <c r="AA53" s="1"/>
  <c r="AB53" s="1"/>
  <c r="AD53" s="1"/>
  <c r="Y52"/>
  <c r="AA52" s="1"/>
  <c r="AB52" s="1"/>
  <c r="AD52" s="1"/>
  <c r="Y51"/>
  <c r="AA51" s="1"/>
  <c r="AB51" s="1"/>
  <c r="AD51" s="1"/>
  <c r="Y37"/>
  <c r="AA37" s="1"/>
  <c r="AB37" s="1"/>
  <c r="AD37" s="1"/>
  <c r="Y35"/>
  <c r="AA35" s="1"/>
  <c r="AB35" s="1"/>
  <c r="AD35" s="1"/>
  <c r="Y31"/>
  <c r="AA31" s="1"/>
  <c r="AB31" s="1"/>
  <c r="AD31" s="1"/>
  <c r="Y30"/>
  <c r="AA30" s="1"/>
  <c r="AB30" s="1"/>
  <c r="AD30" s="1"/>
  <c r="Y29"/>
  <c r="AA29" s="1"/>
  <c r="AB29" s="1"/>
  <c r="AC28"/>
  <c r="Y28"/>
  <c r="AA28" s="1"/>
  <c r="AB28" s="1"/>
  <c r="AC27"/>
  <c r="Y27"/>
  <c r="AA27" s="1"/>
  <c r="AB27" s="1"/>
  <c r="AC22"/>
  <c r="AD22" s="1"/>
  <c r="AC21"/>
  <c r="AC20"/>
  <c r="Y20"/>
  <c r="AA20" s="1"/>
  <c r="AB20" s="1"/>
  <c r="AC19"/>
  <c r="Y19"/>
  <c r="AA19" s="1"/>
  <c r="AB19" s="1"/>
  <c r="AC18"/>
  <c r="Y18"/>
  <c r="AA18" s="1"/>
  <c r="AB18" s="1"/>
  <c r="AC17"/>
  <c r="Y17"/>
  <c r="AA17" s="1"/>
  <c r="AB17" s="1"/>
  <c r="AC15"/>
  <c r="Y15"/>
  <c r="AA15" s="1"/>
  <c r="AB15" s="1"/>
  <c r="AC13"/>
  <c r="Y13"/>
  <c r="AA13" s="1"/>
  <c r="AB13" s="1"/>
  <c r="AC11"/>
  <c r="Y11"/>
  <c r="AA11" s="1"/>
  <c r="AB11" s="1"/>
  <c r="AC9"/>
  <c r="Y9"/>
  <c r="AA9" s="1"/>
  <c r="AB9" s="1"/>
  <c r="AC7"/>
  <c r="Y7"/>
  <c r="AA7" s="1"/>
  <c r="AB7" s="1"/>
  <c r="AC5"/>
  <c r="Y5"/>
  <c r="AA5" s="1"/>
  <c r="AB5" s="1"/>
  <c r="AC3"/>
  <c r="AC16"/>
  <c r="AD16" s="1"/>
  <c r="AC14"/>
  <c r="AD14" s="1"/>
  <c r="AC12"/>
  <c r="AC10"/>
  <c r="AD10" s="1"/>
  <c r="AC8"/>
  <c r="AC6"/>
  <c r="AD6" s="1"/>
  <c r="AC4"/>
  <c r="AC80" l="1"/>
  <c r="AG35" s="1"/>
  <c r="AG36" s="1"/>
  <c r="AG37" s="1"/>
  <c r="J69" s="1"/>
  <c r="AD4"/>
  <c r="AD8"/>
  <c r="AD12"/>
  <c r="AD5"/>
  <c r="AD7"/>
  <c r="AD9"/>
  <c r="AD11"/>
  <c r="AD13"/>
  <c r="AD15"/>
  <c r="AD17"/>
  <c r="AD18"/>
  <c r="AD19"/>
  <c r="AD20"/>
  <c r="AD21"/>
  <c r="AD27"/>
  <c r="AD28"/>
  <c r="AD29"/>
  <c r="AD26"/>
  <c r="AD25"/>
  <c r="AB80"/>
  <c r="AD3"/>
  <c r="AI2" s="1"/>
  <c r="AI4"/>
  <c r="AI8"/>
  <c r="AI12"/>
  <c r="AI16"/>
  <c r="AI18"/>
  <c r="AI20"/>
  <c r="AI22"/>
  <c r="AI3"/>
  <c r="AI7"/>
  <c r="AI11"/>
  <c r="AI15"/>
  <c r="AI24"/>
  <c r="AD80"/>
  <c r="AF53" s="1"/>
  <c r="AG55" s="1"/>
  <c r="I74" s="1"/>
  <c r="AI25" l="1"/>
  <c r="AI23"/>
  <c r="AI13"/>
  <c r="AI9"/>
  <c r="AI5"/>
  <c r="AI1"/>
  <c r="AI21"/>
  <c r="AI19"/>
  <c r="AI17"/>
  <c r="AI14"/>
  <c r="AI10"/>
  <c r="AI26" s="1"/>
  <c r="AI27" s="1"/>
  <c r="J68" s="1"/>
  <c r="I71" s="1"/>
  <c r="AI6"/>
  <c r="C76" l="1"/>
  <c r="F76"/>
  <c r="AG70" l="1"/>
  <c r="H77"/>
  <c r="L77" s="1"/>
  <c r="AG71" l="1"/>
  <c r="AH71" s="1"/>
  <c r="AH73" s="1"/>
  <c r="G78" s="1"/>
  <c r="AH72" l="1"/>
  <c r="AG73" s="1"/>
  <c r="F78" s="1"/>
</calcChain>
</file>

<file path=xl/sharedStrings.xml><?xml version="1.0" encoding="utf-8"?>
<sst xmlns="http://schemas.openxmlformats.org/spreadsheetml/2006/main" count="115" uniqueCount="101">
  <si>
    <t>Renseignez les cases en jaune</t>
  </si>
  <si>
    <t>année</t>
  </si>
  <si>
    <t>coeff reval</t>
  </si>
  <si>
    <t>conversion</t>
  </si>
  <si>
    <t>euros</t>
  </si>
  <si>
    <t>totaux</t>
  </si>
  <si>
    <t>revalo</t>
  </si>
  <si>
    <t>futur</t>
  </si>
  <si>
    <t>combiné</t>
  </si>
  <si>
    <t>et vous verrez la simulation en bas de la feuille.</t>
  </si>
  <si>
    <t>Trimestres dus</t>
  </si>
  <si>
    <t>jour</t>
  </si>
  <si>
    <t>mois</t>
  </si>
  <si>
    <t>1.</t>
  </si>
  <si>
    <r>
      <rPr>
        <sz val="12"/>
        <rFont val="Arial"/>
        <family val="2"/>
      </rPr>
      <t xml:space="preserve">Indiquez votre </t>
    </r>
    <r>
      <rPr>
        <b/>
        <sz val="12"/>
        <rFont val="Arial"/>
        <family val="2"/>
      </rPr>
      <t>date de naissance  (jj / mm / aaaa)</t>
    </r>
    <r>
      <rPr>
        <sz val="12"/>
        <rFont val="Arial"/>
        <family val="2"/>
      </rPr>
      <t> :</t>
    </r>
  </si>
  <si>
    <t>/</t>
  </si>
  <si>
    <t>2.</t>
  </si>
  <si>
    <r>
      <rPr>
        <sz val="12"/>
        <rFont val="Arial"/>
        <family val="2"/>
      </rPr>
      <t xml:space="preserve">Indiquez vos </t>
    </r>
    <r>
      <rPr>
        <b/>
        <sz val="12"/>
        <rFont val="Arial"/>
        <family val="2"/>
      </rPr>
      <t>points</t>
    </r>
    <r>
      <rPr>
        <sz val="12"/>
        <rFont val="Arial"/>
        <family val="2"/>
      </rPr>
      <t xml:space="preserve"> acquis au 31 déc. 2018 :</t>
    </r>
  </si>
  <si>
    <t>IRCANTEC :</t>
  </si>
  <si>
    <t>ARRCO :</t>
  </si>
  <si>
    <t>3.</t>
  </si>
  <si>
    <r>
      <rPr>
        <sz val="12"/>
        <rFont val="Arial"/>
        <family val="2"/>
      </rPr>
      <t xml:space="preserve">Indiquez combien de </t>
    </r>
    <r>
      <rPr>
        <b/>
        <sz val="12"/>
        <rFont val="Arial"/>
        <family val="2"/>
      </rPr>
      <t xml:space="preserve">trimestres d’assurance validés </t>
    </r>
    <r>
      <rPr>
        <sz val="12"/>
        <rFont val="Arial"/>
        <family val="2"/>
      </rPr>
      <t>au 31/12/2018 :</t>
    </r>
  </si>
  <si>
    <t>trimestres</t>
  </si>
  <si>
    <t>4.</t>
  </si>
  <si>
    <t>Carrière  :</t>
  </si>
  <si>
    <r>
      <rPr>
        <sz val="12"/>
        <rFont val="Arial"/>
        <family val="2"/>
      </rPr>
      <t>Depuis le début  jusqu’au 31 déc</t>
    </r>
    <r>
      <rPr>
        <b/>
        <sz val="12"/>
        <rFont val="Arial"/>
        <family val="2"/>
      </rPr>
      <t>. 2018</t>
    </r>
    <r>
      <rPr>
        <sz val="12"/>
        <rFont val="Arial"/>
        <family val="2"/>
      </rPr>
      <t>, précisez pour chaque année le total brut perçu comme Agent Non Titulaire  :</t>
    </r>
  </si>
  <si>
    <t>(Si c’est libellé en F, écrivez dans la colonne de gauche ; si c’est en €, dans la colonne de droite)</t>
  </si>
  <si>
    <t>Sommes en FR</t>
  </si>
  <si>
    <t>Sommes en €</t>
  </si>
  <si>
    <t>réf :</t>
  </si>
  <si>
    <t>annéedépart :</t>
  </si>
  <si>
    <t>datedépart :</t>
  </si>
  <si>
    <t>reste :</t>
  </si>
  <si>
    <t>ans</t>
  </si>
  <si>
    <t>soit :</t>
  </si>
  <si>
    <t>cumulé :</t>
  </si>
  <si>
    <t>dû :</t>
  </si>
  <si>
    <t>Trimestres dus :</t>
  </si>
  <si>
    <t>manque :</t>
  </si>
  <si>
    <t>Jusq 67 :</t>
  </si>
  <si>
    <t>dec/sur/cote</t>
  </si>
  <si>
    <t>moyenne des 25 meilleures années</t>
  </si>
  <si>
    <t>paye 2019</t>
  </si>
  <si>
    <t>pension RG</t>
  </si>
  <si>
    <t>paye estimée</t>
  </si>
  <si>
    <t>en moyenne</t>
  </si>
  <si>
    <t>minoration :</t>
  </si>
  <si>
    <t>service point</t>
  </si>
  <si>
    <t>minoration</t>
  </si>
  <si>
    <t>achat point :</t>
  </si>
  <si>
    <t>IRCANTEC acquis :</t>
  </si>
  <si>
    <t>IRCANTEC à venir :</t>
  </si>
  <si>
    <t>Total :</t>
  </si>
  <si>
    <t>Pension TP :</t>
  </si>
  <si>
    <t>âge</t>
  </si>
  <si>
    <t>départ</t>
  </si>
  <si>
    <t>Cotis Macron</t>
  </si>
  <si>
    <t>pivot :</t>
  </si>
  <si>
    <t>Pension Macron :</t>
  </si>
  <si>
    <t>Janvier</t>
  </si>
  <si>
    <t>ARRCO</t>
  </si>
  <si>
    <t>février</t>
  </si>
  <si>
    <t>Valeur du point 2019 :</t>
  </si>
  <si>
    <t>mars</t>
  </si>
  <si>
    <t>Minoration ARRCO :</t>
  </si>
  <si>
    <t>avril</t>
  </si>
  <si>
    <t>Nb points :</t>
  </si>
  <si>
    <t>mai</t>
  </si>
  <si>
    <t>Pension ARRCO :</t>
  </si>
  <si>
    <t>5.</t>
  </si>
  <si>
    <t>Si vous décidez de prendre votre retraite à :</t>
  </si>
  <si>
    <t xml:space="preserve">  ans, </t>
  </si>
  <si>
    <t>juin</t>
  </si>
  <si>
    <t>estimez votre niveau de salaire mensuel brut :</t>
  </si>
  <si>
    <t>à cette date .</t>
  </si>
  <si>
    <t>juillet</t>
  </si>
  <si>
    <t>(  Estimez aussi pour l’année en cours 2019 :</t>
  </si>
  <si>
    <t xml:space="preserve">  )</t>
  </si>
  <si>
    <t>août</t>
  </si>
  <si>
    <t>septembre</t>
  </si>
  <si>
    <t>Voici le résultat de la simulation :</t>
  </si>
  <si>
    <t>octobre</t>
  </si>
  <si>
    <t>novembre</t>
  </si>
  <si>
    <t xml:space="preserve">A  </t>
  </si>
  <si>
    <t>ans,</t>
  </si>
  <si>
    <t>avec le système actuel, votre pension de base serait :</t>
  </si>
  <si>
    <t>décembre</t>
  </si>
  <si>
    <t>votre pension IRCANTEC serait :</t>
  </si>
  <si>
    <t>et votre pension ARRCO serait :</t>
  </si>
  <si>
    <t>nb jours :</t>
  </si>
  <si>
    <t>Soit un total de :</t>
  </si>
  <si>
    <t>brut mensuel</t>
  </si>
  <si>
    <t>nb mois :</t>
  </si>
  <si>
    <t>nj jours résiduels :</t>
  </si>
  <si>
    <t>Avec le système Macron, votre pension deviendrait :</t>
  </si>
  <si>
    <t>C’est une perte de :</t>
  </si>
  <si>
    <t xml:space="preserve">C’est comme si on décidait de payer votre pension pendant seulement </t>
  </si>
  <si>
    <t>C’est comme si on vous payait seulement jusqu’au</t>
  </si>
  <si>
    <t>et plus rien pour les</t>
  </si>
  <si>
    <t>mois suivants !</t>
  </si>
  <si>
    <t>et plus rien après !</t>
  </si>
</sst>
</file>

<file path=xl/styles.xml><?xml version="1.0" encoding="utf-8"?>
<styleSheet xmlns="http://schemas.openxmlformats.org/spreadsheetml/2006/main">
  <numFmts count="5">
    <numFmt numFmtId="164" formatCode="#,##0.00\ [$€-40C];[Red]\-#,##0.00\ [$€-40C]"/>
    <numFmt numFmtId="165" formatCode="00"/>
    <numFmt numFmtId="166" formatCode="#,##0.00\ [$F-40C];[Red]\-#,##0.00\ [$F-40C]"/>
    <numFmt numFmtId="167" formatCode="dd/mm/yy"/>
    <numFmt numFmtId="168" formatCode="0.00\ %"/>
  </numFmts>
  <fonts count="7">
    <font>
      <sz val="10"/>
      <name val="Arial"/>
      <family val="2"/>
    </font>
    <font>
      <u/>
      <sz val="10"/>
      <name val="Lucida Sans"/>
      <family val="2"/>
    </font>
    <font>
      <sz val="10"/>
      <name val="Lucida Sans"/>
      <family val="2"/>
    </font>
    <font>
      <sz val="12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24"/>
        <bgColor indexed="54"/>
      </patternFill>
    </fill>
    <fill>
      <patternFill patternType="solid">
        <fgColor indexed="54"/>
        <bgColor indexed="23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</cellStyleXfs>
  <cellXfs count="54">
    <xf numFmtId="0" fontId="0" fillId="0" borderId="0" xfId="0"/>
    <xf numFmtId="0" fontId="3" fillId="0" borderId="0" xfId="0" applyFont="1"/>
    <xf numFmtId="0" fontId="0" fillId="0" borderId="0" xfId="0" applyFont="1"/>
    <xf numFmtId="0" fontId="4" fillId="2" borderId="0" xfId="0" applyFont="1" applyFill="1"/>
    <xf numFmtId="0" fontId="0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/>
    <xf numFmtId="0" fontId="0" fillId="0" borderId="0" xfId="0" applyNumberFormat="1" applyAlignment="1">
      <alignment horizontal="center"/>
    </xf>
    <xf numFmtId="0" fontId="0" fillId="3" borderId="0" xfId="0" applyFont="1" applyFill="1"/>
    <xf numFmtId="0" fontId="3" fillId="0" borderId="0" xfId="0" applyFont="1" applyAlignment="1">
      <alignment horizontal="center"/>
    </xf>
    <xf numFmtId="0" fontId="5" fillId="2" borderId="0" xfId="0" applyFont="1" applyFill="1"/>
    <xf numFmtId="165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6" fontId="3" fillId="3" borderId="1" xfId="0" applyNumberFormat="1" applyFont="1" applyFill="1" applyBorder="1" applyAlignment="1"/>
    <xf numFmtId="167" fontId="0" fillId="0" borderId="0" xfId="0" applyNumberFormat="1" applyFont="1"/>
    <xf numFmtId="0" fontId="3" fillId="3" borderId="0" xfId="0" applyFont="1" applyFill="1"/>
    <xf numFmtId="0" fontId="0" fillId="4" borderId="0" xfId="0" applyFont="1" applyFill="1"/>
    <xf numFmtId="164" fontId="0" fillId="3" borderId="0" xfId="0" applyNumberFormat="1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Font="1"/>
    <xf numFmtId="164" fontId="0" fillId="5" borderId="0" xfId="0" applyNumberFormat="1" applyFont="1" applyFill="1"/>
    <xf numFmtId="0" fontId="0" fillId="0" borderId="0" xfId="0" applyFont="1" applyAlignment="1">
      <alignment horizontal="center"/>
    </xf>
    <xf numFmtId="0" fontId="0" fillId="4" borderId="0" xfId="0" applyFill="1"/>
    <xf numFmtId="164" fontId="0" fillId="4" borderId="0" xfId="0" applyNumberFormat="1" applyFont="1" applyFill="1"/>
    <xf numFmtId="0" fontId="0" fillId="3" borderId="0" xfId="0" applyFill="1"/>
    <xf numFmtId="2" fontId="0" fillId="0" borderId="0" xfId="0" applyNumberFormat="1" applyFont="1"/>
    <xf numFmtId="0" fontId="5" fillId="3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/>
    <xf numFmtId="0" fontId="3" fillId="0" borderId="0" xfId="0" applyFont="1" applyFill="1"/>
    <xf numFmtId="0" fontId="3" fillId="2" borderId="0" xfId="0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Fill="1"/>
    <xf numFmtId="0" fontId="0" fillId="2" borderId="0" xfId="0" applyFill="1"/>
    <xf numFmtId="168" fontId="5" fillId="0" borderId="0" xfId="0" applyNumberFormat="1" applyFont="1" applyFill="1"/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0" fillId="3" borderId="0" xfId="0" applyNumberForma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/>
    <xf numFmtId="164" fontId="5" fillId="0" borderId="0" xfId="0" applyNumberFormat="1" applyFont="1" applyFill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5">
    <cellStyle name="En-tête" xfId="3"/>
    <cellStyle name="Normal" xfId="0" builtinId="0"/>
    <cellStyle name="Résultat" xfId="1"/>
    <cellStyle name="Résultat2" xfId="2"/>
    <cellStyle name="Titre1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83B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190500</xdr:colOff>
      <xdr:row>2</xdr:row>
      <xdr:rowOff>85725</xdr:rowOff>
    </xdr:from>
    <xdr:to>
      <xdr:col>15</xdr:col>
      <xdr:colOff>180975</xdr:colOff>
      <xdr:row>57</xdr:row>
      <xdr:rowOff>123825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190500" y="409575"/>
          <a:ext cx="11420475" cy="89439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Pour signaler une erreur, améliorer l’outil, svp contacter : herve.lelourec@univ-nantes.fr</a:t>
          </a:r>
        </a:p>
        <a:p>
          <a:pPr algn="ctr" rtl="0">
            <a:defRPr sz="1000"/>
          </a:pPr>
          <a:endParaRPr lang="fr-FR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Simulateur Mode d’Emploi</a:t>
          </a:r>
        </a:p>
        <a:p>
          <a:pPr algn="ctr" rtl="0">
            <a:defRPr sz="1000"/>
          </a:pPr>
          <a:endParaRPr lang="fr-FR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Préparation :</a:t>
          </a:r>
        </a:p>
        <a:p>
          <a:pPr algn="ctr" rtl="0">
            <a:defRPr sz="1000"/>
          </a:pPr>
          <a:endParaRPr lang="fr-FR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Sur le site info-retraite.fr, vous récupérez un R.I.S. (Relevé Individuel de Situation) qui vous donne les infos suivantes, arrêtées au 31/12/2018 :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A la rubrique « RETRAITE DE BASE DES SALARIES DU SECTEUR PRIVE », vous avez les sommes perçues ; faites le total des Francs et le total des € et reportez chacun de ces deux nombres dans le simulateur.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En 1ère page, rubrique « RETRAITE DE BASE », vous avez le nombre de trimestres d’assurance comme salarié du secteur privé, idem comme fonctionnaire. Reportez-le dans le simulateur.</a:t>
          </a:r>
        </a:p>
        <a:p>
          <a:pPr algn="ctr" rtl="0">
            <a:defRPr sz="1000"/>
          </a:pPr>
          <a:endParaRPr lang="fr-FR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Sur votre E.N.T. (Environnement Numérique de Travail de votre établissement), vous obtenez le déroulement précis des événements successifs de votre carrière.</a:t>
          </a:r>
        </a:p>
        <a:p>
          <a:pPr algn="ctr" rtl="0">
            <a:defRPr sz="1000"/>
          </a:pPr>
          <a:endParaRPr lang="fr-FR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Autres sources possibles :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Votre service R.H. d’établissement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retraite.gouv.fr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retraitedeletat.gouv.fr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servicepublic.fr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site caisse des dépôts : https://sl2.cdc.retraites.fr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vos feuilles de paye</a:t>
          </a:r>
        </a:p>
        <a:p>
          <a:pPr algn="ctr" rtl="0">
            <a:defRPr sz="1000"/>
          </a:pPr>
          <a:endParaRPr lang="fr-FR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Remarques : la pension IRCANTEC est minorée par rapport à la réalité car pour simplifier on utilise le pire coefficient de minoration pour tous (celui des agents née à partir de 1973).</a:t>
          </a:r>
        </a:p>
        <a:p>
          <a:pPr algn="ctr" rtl="0">
            <a:defRPr sz="1000"/>
          </a:pPr>
          <a:endParaRPr lang="fr-FR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ARRCO est calculée avec la minoration « temporaire » de 10 %.</a:t>
          </a:r>
        </a:p>
        <a:p>
          <a:pPr algn="ctr" rtl="0">
            <a:defRPr sz="1000"/>
          </a:pPr>
          <a:endParaRPr lang="fr-FR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On ne tient pas compte de variantes personnelles liées à la situation familiale, au handicap, aux carrières longues …</a:t>
          </a:r>
        </a:p>
        <a:p>
          <a:pPr algn="ctr" rtl="0">
            <a:defRPr sz="1000"/>
          </a:pPr>
          <a:endParaRPr lang="fr-FR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Les très petites pensions sont soldées sous forme d’un capital unique versé pour solde de tout compte</a:t>
          </a:r>
        </a:p>
        <a:p>
          <a:pPr algn="ctr" rtl="0">
            <a:defRPr sz="1000"/>
          </a:pPr>
          <a:endParaRPr lang="fr-FR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" sqref="F1"/>
    </sheetView>
  </sheetViews>
  <sheetFormatPr baseColWidth="10" defaultRowHeight="12.7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80"/>
  <sheetViews>
    <sheetView tabSelected="1" topLeftCell="A58" workbookViewId="0">
      <selection activeCell="A80" sqref="A80"/>
    </sheetView>
  </sheetViews>
  <sheetFormatPr baseColWidth="10" defaultRowHeight="15"/>
  <cols>
    <col min="1" max="3" width="11.5703125" style="1" customWidth="1"/>
    <col min="4" max="4" width="7.7109375" style="1" customWidth="1"/>
    <col min="5" max="5" width="30.7109375" style="1" customWidth="1"/>
    <col min="6" max="6" width="14.42578125" style="1" customWidth="1"/>
    <col min="7" max="7" width="10.140625" style="1" customWidth="1"/>
    <col min="8" max="8" width="7.28515625" style="1" customWidth="1"/>
    <col min="9" max="9" width="12" style="1" customWidth="1"/>
    <col min="10" max="10" width="14.28515625" style="1" customWidth="1"/>
    <col min="11" max="27" width="11.5703125" style="1" customWidth="1"/>
    <col min="28" max="28" width="12.5703125" style="1" customWidth="1"/>
    <col min="29" max="30" width="11.5703125" style="1" customWidth="1"/>
    <col min="31" max="33" width="11.5703125" style="2" customWidth="1"/>
    <col min="34" max="34" width="11.5703125" style="1" customWidth="1"/>
    <col min="35" max="35" width="19.85546875" style="1" customWidth="1"/>
    <col min="36" max="64" width="11.5703125" style="1" customWidth="1"/>
  </cols>
  <sheetData>
    <row r="1" spans="1:42" ht="16.5">
      <c r="A1" s="3" t="s">
        <v>0</v>
      </c>
      <c r="B1" s="3"/>
      <c r="C1" s="3"/>
      <c r="D1" s="3"/>
      <c r="T1" s="4" t="s">
        <v>1</v>
      </c>
      <c r="U1" s="4" t="s">
        <v>2</v>
      </c>
      <c r="V1" s="5"/>
      <c r="W1" s="5"/>
      <c r="X1" s="5" t="s">
        <v>1</v>
      </c>
      <c r="Y1" s="5" t="s">
        <v>3</v>
      </c>
      <c r="Z1" s="5" t="s">
        <v>4</v>
      </c>
      <c r="AA1" s="5" t="s">
        <v>5</v>
      </c>
      <c r="AB1" s="5" t="s">
        <v>6</v>
      </c>
      <c r="AC1" s="5" t="s">
        <v>7</v>
      </c>
      <c r="AD1" s="5" t="s">
        <v>8</v>
      </c>
      <c r="AH1" s="2">
        <v>1</v>
      </c>
      <c r="AI1" s="2">
        <f t="shared" ref="AI1:AI25" si="0">LARGE($AD$2:$AD$79,AH1)</f>
        <v>39600</v>
      </c>
    </row>
    <row r="2" spans="1:42" ht="16.5">
      <c r="A2" s="3" t="s">
        <v>9</v>
      </c>
      <c r="B2" s="6"/>
      <c r="C2" s="6"/>
      <c r="D2" s="6"/>
      <c r="E2" s="6"/>
      <c r="T2" s="4">
        <v>2018</v>
      </c>
      <c r="U2" s="4">
        <v>1.0149999999999999</v>
      </c>
      <c r="V2" s="7">
        <f t="shared" ref="V2:V47" si="1">IF(ISBLANK(C15),3000,C15)</f>
        <v>1995</v>
      </c>
      <c r="W2" s="7">
        <f t="shared" ref="W2:W47" si="2">C15</f>
        <v>1995</v>
      </c>
      <c r="X2" s="7">
        <v>1963</v>
      </c>
      <c r="Y2">
        <f t="shared" ref="Y2:Y79" si="3">IF(OR(X2&lt;SMALL($V$2:$V$47,1),X2&gt;LARGE($W$2:$W$47,1)),0,IF(X2&lt;=2001,VLOOKUP(X2,$C$15:$E$60,3)*0.1524,0))</f>
        <v>0</v>
      </c>
      <c r="Z2">
        <f t="shared" ref="Z2:Z79" si="4">IF(OR(X2&lt;SMALL($C$15:$C$60,1),X2&gt;LARGE($C$15:$C$60,1)),0,IF(X2&gt;2001,VLOOKUP(X2,$C$15:$J$60,5),0))</f>
        <v>0</v>
      </c>
      <c r="AA2">
        <f t="shared" ref="AA2:AA79" si="5">Y2+Z2</f>
        <v>0</v>
      </c>
      <c r="AB2">
        <f t="shared" ref="AB2:AB79" si="6">IF(X2&gt;2018,AA2,AA2*VLOOKUP(X2,$T$2:$U$57,2,))</f>
        <v>0</v>
      </c>
      <c r="AC2">
        <f t="shared" ref="AC2:AC79" si="7">IF(OR(X2&lt;$AE$27,X2&gt;$AE$28),0,$AF$29)</f>
        <v>0</v>
      </c>
      <c r="AD2">
        <f t="shared" ref="AD2:AD79" si="8">AB2+AC2</f>
        <v>0</v>
      </c>
      <c r="AH2" s="2">
        <v>2</v>
      </c>
      <c r="AI2" s="2">
        <f t="shared" si="0"/>
        <v>39600</v>
      </c>
      <c r="AK2" s="8" t="s">
        <v>10</v>
      </c>
      <c r="AL2" s="8"/>
    </row>
    <row r="3" spans="1:42">
      <c r="G3" s="9" t="s">
        <v>11</v>
      </c>
      <c r="I3" s="9" t="s">
        <v>12</v>
      </c>
      <c r="K3" s="9" t="s">
        <v>1</v>
      </c>
      <c r="T3" s="4">
        <v>2017</v>
      </c>
      <c r="U3" s="4">
        <v>1.0229999999999999</v>
      </c>
      <c r="V3" s="7">
        <f t="shared" si="1"/>
        <v>1996</v>
      </c>
      <c r="W3" s="7">
        <f t="shared" si="2"/>
        <v>1996</v>
      </c>
      <c r="X3" s="7">
        <v>1964</v>
      </c>
      <c r="Y3">
        <f t="shared" si="3"/>
        <v>0</v>
      </c>
      <c r="Z3">
        <f t="shared" si="4"/>
        <v>0</v>
      </c>
      <c r="AA3">
        <f t="shared" si="5"/>
        <v>0</v>
      </c>
      <c r="AB3">
        <f t="shared" si="6"/>
        <v>0</v>
      </c>
      <c r="AC3">
        <f t="shared" si="7"/>
        <v>0</v>
      </c>
      <c r="AD3">
        <f t="shared" si="8"/>
        <v>0</v>
      </c>
      <c r="AH3" s="2">
        <v>3</v>
      </c>
      <c r="AI3" s="2">
        <f t="shared" si="0"/>
        <v>39600</v>
      </c>
      <c r="AK3" s="8">
        <v>1956</v>
      </c>
      <c r="AL3" s="8">
        <v>166</v>
      </c>
    </row>
    <row r="4" spans="1:42" ht="15.75">
      <c r="A4" s="10" t="s">
        <v>13</v>
      </c>
      <c r="B4" s="1" t="s">
        <v>14</v>
      </c>
      <c r="G4" s="11">
        <v>1</v>
      </c>
      <c r="H4" s="9" t="s">
        <v>15</v>
      </c>
      <c r="I4" s="11">
        <v>6</v>
      </c>
      <c r="J4" s="9" t="s">
        <v>15</v>
      </c>
      <c r="K4" s="11">
        <v>1973</v>
      </c>
      <c r="T4" s="4">
        <v>2016</v>
      </c>
      <c r="U4" s="4">
        <v>1.0229999999999999</v>
      </c>
      <c r="V4" s="7">
        <f t="shared" si="1"/>
        <v>1997</v>
      </c>
      <c r="W4" s="7">
        <f t="shared" si="2"/>
        <v>1997</v>
      </c>
      <c r="X4" s="7">
        <v>1965</v>
      </c>
      <c r="Y4">
        <f t="shared" si="3"/>
        <v>0</v>
      </c>
      <c r="Z4">
        <f t="shared" si="4"/>
        <v>0</v>
      </c>
      <c r="AA4">
        <f t="shared" si="5"/>
        <v>0</v>
      </c>
      <c r="AB4">
        <f t="shared" si="6"/>
        <v>0</v>
      </c>
      <c r="AC4">
        <f t="shared" si="7"/>
        <v>0</v>
      </c>
      <c r="AD4">
        <f t="shared" si="8"/>
        <v>0</v>
      </c>
      <c r="AH4" s="2">
        <v>4</v>
      </c>
      <c r="AI4" s="2">
        <f t="shared" si="0"/>
        <v>39600</v>
      </c>
      <c r="AK4" s="8">
        <v>1957</v>
      </c>
      <c r="AL4" s="8">
        <v>166</v>
      </c>
    </row>
    <row r="5" spans="1:42">
      <c r="T5" s="4">
        <v>2015</v>
      </c>
      <c r="U5" s="4">
        <v>1.024</v>
      </c>
      <c r="V5" s="7">
        <f t="shared" si="1"/>
        <v>1998</v>
      </c>
      <c r="W5" s="7">
        <f t="shared" si="2"/>
        <v>1998</v>
      </c>
      <c r="X5" s="7">
        <v>1966</v>
      </c>
      <c r="Y5">
        <f t="shared" si="3"/>
        <v>0</v>
      </c>
      <c r="Z5">
        <f t="shared" si="4"/>
        <v>0</v>
      </c>
      <c r="AA5">
        <f t="shared" si="5"/>
        <v>0</v>
      </c>
      <c r="AB5">
        <f t="shared" si="6"/>
        <v>0</v>
      </c>
      <c r="AC5">
        <f t="shared" si="7"/>
        <v>0</v>
      </c>
      <c r="AD5">
        <f t="shared" si="8"/>
        <v>0</v>
      </c>
      <c r="AH5" s="2">
        <v>5</v>
      </c>
      <c r="AI5" s="2">
        <f t="shared" si="0"/>
        <v>39600</v>
      </c>
      <c r="AK5" s="8">
        <v>1958</v>
      </c>
      <c r="AL5" s="8">
        <v>167</v>
      </c>
    </row>
    <row r="6" spans="1:42" ht="16.5">
      <c r="A6" s="10" t="s">
        <v>16</v>
      </c>
      <c r="B6" s="1" t="s">
        <v>17</v>
      </c>
      <c r="F6" s="3" t="s">
        <v>18</v>
      </c>
      <c r="G6" s="52">
        <v>5342</v>
      </c>
      <c r="H6" s="52"/>
      <c r="I6" s="3" t="s">
        <v>19</v>
      </c>
      <c r="J6" s="12">
        <v>32.54</v>
      </c>
      <c r="T6" s="4">
        <v>2014</v>
      </c>
      <c r="U6" s="4">
        <v>1.024</v>
      </c>
      <c r="V6" s="7">
        <f t="shared" si="1"/>
        <v>1999</v>
      </c>
      <c r="W6" s="7">
        <f t="shared" si="2"/>
        <v>1999</v>
      </c>
      <c r="X6" s="7">
        <v>1967</v>
      </c>
      <c r="Y6">
        <f t="shared" si="3"/>
        <v>0</v>
      </c>
      <c r="Z6">
        <f t="shared" si="4"/>
        <v>0</v>
      </c>
      <c r="AA6">
        <f t="shared" si="5"/>
        <v>0</v>
      </c>
      <c r="AB6">
        <f t="shared" si="6"/>
        <v>0</v>
      </c>
      <c r="AC6">
        <f t="shared" si="7"/>
        <v>0</v>
      </c>
      <c r="AD6">
        <f t="shared" si="8"/>
        <v>0</v>
      </c>
      <c r="AH6" s="2">
        <v>6</v>
      </c>
      <c r="AI6" s="2">
        <f t="shared" si="0"/>
        <v>39600</v>
      </c>
      <c r="AK6" s="8">
        <v>1959</v>
      </c>
      <c r="AL6" s="8">
        <v>167</v>
      </c>
    </row>
    <row r="7" spans="1:42">
      <c r="T7" s="4">
        <v>2013</v>
      </c>
      <c r="U7" s="4">
        <v>1.0369999999999999</v>
      </c>
      <c r="V7" s="7">
        <f t="shared" si="1"/>
        <v>2000</v>
      </c>
      <c r="W7" s="7">
        <f t="shared" si="2"/>
        <v>2000</v>
      </c>
      <c r="X7" s="7">
        <v>1968</v>
      </c>
      <c r="Y7">
        <f t="shared" si="3"/>
        <v>0</v>
      </c>
      <c r="Z7">
        <f t="shared" si="4"/>
        <v>0</v>
      </c>
      <c r="AA7">
        <f t="shared" si="5"/>
        <v>0</v>
      </c>
      <c r="AB7">
        <f t="shared" si="6"/>
        <v>0</v>
      </c>
      <c r="AC7">
        <f t="shared" si="7"/>
        <v>0</v>
      </c>
      <c r="AD7">
        <f t="shared" si="8"/>
        <v>0</v>
      </c>
      <c r="AH7" s="2">
        <v>7</v>
      </c>
      <c r="AI7" s="2">
        <f t="shared" si="0"/>
        <v>39600</v>
      </c>
      <c r="AK7" s="8">
        <v>1960</v>
      </c>
      <c r="AL7" s="8">
        <v>167</v>
      </c>
    </row>
    <row r="8" spans="1:42" ht="15.75">
      <c r="A8" s="10" t="s">
        <v>20</v>
      </c>
      <c r="B8" s="1" t="s">
        <v>21</v>
      </c>
      <c r="G8" s="52">
        <v>78</v>
      </c>
      <c r="H8" s="52"/>
      <c r="I8" s="1" t="s">
        <v>22</v>
      </c>
      <c r="T8" s="4">
        <v>2012</v>
      </c>
      <c r="U8" s="4">
        <v>1.0580000000000001</v>
      </c>
      <c r="V8" s="7">
        <f t="shared" si="1"/>
        <v>2001</v>
      </c>
      <c r="W8" s="7">
        <f t="shared" si="2"/>
        <v>2001</v>
      </c>
      <c r="X8" s="7">
        <v>1969</v>
      </c>
      <c r="Y8">
        <f t="shared" si="3"/>
        <v>0</v>
      </c>
      <c r="Z8">
        <f t="shared" si="4"/>
        <v>0</v>
      </c>
      <c r="AA8">
        <f t="shared" si="5"/>
        <v>0</v>
      </c>
      <c r="AB8">
        <f t="shared" si="6"/>
        <v>0</v>
      </c>
      <c r="AC8">
        <f t="shared" si="7"/>
        <v>0</v>
      </c>
      <c r="AD8">
        <f t="shared" si="8"/>
        <v>0</v>
      </c>
      <c r="AH8" s="2">
        <v>8</v>
      </c>
      <c r="AI8" s="2">
        <f t="shared" si="0"/>
        <v>39600</v>
      </c>
      <c r="AK8" s="8">
        <v>1961</v>
      </c>
      <c r="AL8" s="8">
        <v>168</v>
      </c>
    </row>
    <row r="9" spans="1:42">
      <c r="I9" s="13"/>
      <c r="T9" s="4">
        <v>2011</v>
      </c>
      <c r="U9" s="4">
        <v>1.079</v>
      </c>
      <c r="V9" s="7">
        <f t="shared" si="1"/>
        <v>2002</v>
      </c>
      <c r="W9" s="7">
        <f t="shared" si="2"/>
        <v>2002</v>
      </c>
      <c r="X9" s="7">
        <v>1970</v>
      </c>
      <c r="Y9">
        <f t="shared" si="3"/>
        <v>0</v>
      </c>
      <c r="Z9">
        <f t="shared" si="4"/>
        <v>0</v>
      </c>
      <c r="AA9">
        <f t="shared" si="5"/>
        <v>0</v>
      </c>
      <c r="AB9">
        <f t="shared" si="6"/>
        <v>0</v>
      </c>
      <c r="AC9">
        <f t="shared" si="7"/>
        <v>0</v>
      </c>
      <c r="AD9">
        <f t="shared" si="8"/>
        <v>0</v>
      </c>
      <c r="AH9" s="2">
        <v>9</v>
      </c>
      <c r="AI9" s="2">
        <f t="shared" si="0"/>
        <v>39600</v>
      </c>
      <c r="AK9" s="8">
        <v>1962</v>
      </c>
      <c r="AL9" s="8">
        <v>168</v>
      </c>
    </row>
    <row r="10" spans="1:42" ht="15.75">
      <c r="A10" s="10" t="s">
        <v>23</v>
      </c>
      <c r="B10" s="14" t="s">
        <v>24</v>
      </c>
      <c r="C10" s="1" t="s">
        <v>25</v>
      </c>
      <c r="I10"/>
      <c r="T10" s="4">
        <v>2010</v>
      </c>
      <c r="U10" s="4">
        <v>1.089</v>
      </c>
      <c r="V10" s="7">
        <f t="shared" si="1"/>
        <v>2003</v>
      </c>
      <c r="W10" s="7">
        <f t="shared" si="2"/>
        <v>2003</v>
      </c>
      <c r="X10" s="7">
        <v>1971</v>
      </c>
      <c r="Y10">
        <f t="shared" si="3"/>
        <v>0</v>
      </c>
      <c r="Z10">
        <f t="shared" si="4"/>
        <v>0</v>
      </c>
      <c r="AA10">
        <f t="shared" si="5"/>
        <v>0</v>
      </c>
      <c r="AB10">
        <f t="shared" si="6"/>
        <v>0</v>
      </c>
      <c r="AC10">
        <f t="shared" si="7"/>
        <v>0</v>
      </c>
      <c r="AD10">
        <f t="shared" si="8"/>
        <v>0</v>
      </c>
      <c r="AH10" s="2">
        <v>10</v>
      </c>
      <c r="AI10" s="2">
        <f t="shared" si="0"/>
        <v>39600</v>
      </c>
      <c r="AK10" s="8">
        <v>1963</v>
      </c>
      <c r="AL10" s="8">
        <v>168</v>
      </c>
      <c r="AO10" s="8">
        <v>1</v>
      </c>
      <c r="AP10" s="8">
        <v>1</v>
      </c>
    </row>
    <row r="11" spans="1:42" ht="15.75">
      <c r="B11" s="14"/>
      <c r="C11" s="14" t="s">
        <v>26</v>
      </c>
      <c r="I11"/>
      <c r="T11" s="4">
        <v>2009</v>
      </c>
      <c r="U11" s="4">
        <v>1.099</v>
      </c>
      <c r="V11" s="7">
        <f t="shared" si="1"/>
        <v>2004</v>
      </c>
      <c r="W11" s="7">
        <f t="shared" si="2"/>
        <v>2004</v>
      </c>
      <c r="X11" s="7">
        <v>1972</v>
      </c>
      <c r="Y11">
        <f t="shared" si="3"/>
        <v>0</v>
      </c>
      <c r="Z11">
        <f t="shared" si="4"/>
        <v>0</v>
      </c>
      <c r="AA11">
        <f t="shared" si="5"/>
        <v>0</v>
      </c>
      <c r="AB11">
        <f t="shared" si="6"/>
        <v>0</v>
      </c>
      <c r="AC11">
        <f t="shared" si="7"/>
        <v>0</v>
      </c>
      <c r="AD11">
        <f t="shared" si="8"/>
        <v>0</v>
      </c>
      <c r="AH11" s="2">
        <v>11</v>
      </c>
      <c r="AI11" s="2">
        <f t="shared" si="0"/>
        <v>39600</v>
      </c>
      <c r="AK11" s="8">
        <v>1964</v>
      </c>
      <c r="AL11" s="8">
        <v>169</v>
      </c>
      <c r="AO11" s="8">
        <v>2</v>
      </c>
      <c r="AP11" s="8">
        <v>2</v>
      </c>
    </row>
    <row r="12" spans="1:42">
      <c r="B12"/>
      <c r="T12" s="4">
        <v>2008</v>
      </c>
      <c r="U12" s="4">
        <v>1.1080000000000001</v>
      </c>
      <c r="V12" s="7">
        <f t="shared" si="1"/>
        <v>2005</v>
      </c>
      <c r="W12" s="7">
        <f t="shared" si="2"/>
        <v>2005</v>
      </c>
      <c r="X12" s="7">
        <v>1973</v>
      </c>
      <c r="Y12">
        <f t="shared" si="3"/>
        <v>0</v>
      </c>
      <c r="Z12">
        <f t="shared" si="4"/>
        <v>0</v>
      </c>
      <c r="AA12">
        <f t="shared" si="5"/>
        <v>0</v>
      </c>
      <c r="AB12">
        <f t="shared" si="6"/>
        <v>0</v>
      </c>
      <c r="AC12">
        <f t="shared" si="7"/>
        <v>0</v>
      </c>
      <c r="AD12">
        <f t="shared" si="8"/>
        <v>0</v>
      </c>
      <c r="AH12" s="2">
        <v>12</v>
      </c>
      <c r="AI12" s="2">
        <f t="shared" si="0"/>
        <v>39600</v>
      </c>
      <c r="AK12" s="8">
        <v>1965</v>
      </c>
      <c r="AL12" s="8">
        <v>169</v>
      </c>
      <c r="AO12" s="8">
        <v>3</v>
      </c>
      <c r="AP12" s="8">
        <v>3</v>
      </c>
    </row>
    <row r="13" spans="1:42">
      <c r="K13"/>
      <c r="T13" s="4">
        <v>2007</v>
      </c>
      <c r="U13" s="4">
        <v>1.1200000000000001</v>
      </c>
      <c r="V13" s="7">
        <f t="shared" si="1"/>
        <v>2006</v>
      </c>
      <c r="W13" s="7">
        <f t="shared" si="2"/>
        <v>2006</v>
      </c>
      <c r="X13" s="7">
        <v>1974</v>
      </c>
      <c r="Y13">
        <f t="shared" si="3"/>
        <v>0</v>
      </c>
      <c r="Z13">
        <f t="shared" si="4"/>
        <v>0</v>
      </c>
      <c r="AA13">
        <f t="shared" si="5"/>
        <v>0</v>
      </c>
      <c r="AB13">
        <f t="shared" si="6"/>
        <v>0</v>
      </c>
      <c r="AC13">
        <f t="shared" si="7"/>
        <v>0</v>
      </c>
      <c r="AD13">
        <f t="shared" si="8"/>
        <v>0</v>
      </c>
      <c r="AH13" s="2">
        <v>13</v>
      </c>
      <c r="AI13" s="2">
        <f t="shared" si="0"/>
        <v>39600</v>
      </c>
      <c r="AK13" s="8">
        <v>1966</v>
      </c>
      <c r="AL13" s="8">
        <v>169</v>
      </c>
      <c r="AO13" s="8">
        <v>4</v>
      </c>
      <c r="AP13" s="8">
        <v>4</v>
      </c>
    </row>
    <row r="14" spans="1:42" ht="15.75">
      <c r="C14" s="15" t="s">
        <v>1</v>
      </c>
      <c r="D14"/>
      <c r="E14" s="15" t="s">
        <v>27</v>
      </c>
      <c r="F14" s="16"/>
      <c r="G14" s="53" t="s">
        <v>28</v>
      </c>
      <c r="H14" s="53"/>
      <c r="I14" s="53"/>
      <c r="J14" s="53"/>
      <c r="T14" s="4">
        <v>2006</v>
      </c>
      <c r="U14" s="4">
        <v>1.139</v>
      </c>
      <c r="V14" s="7">
        <f t="shared" si="1"/>
        <v>2007</v>
      </c>
      <c r="W14" s="7">
        <f t="shared" si="2"/>
        <v>2007</v>
      </c>
      <c r="X14" s="7">
        <v>1975</v>
      </c>
      <c r="Y14">
        <f t="shared" si="3"/>
        <v>0</v>
      </c>
      <c r="Z14">
        <f t="shared" si="4"/>
        <v>0</v>
      </c>
      <c r="AA14">
        <f t="shared" si="5"/>
        <v>0</v>
      </c>
      <c r="AB14">
        <f t="shared" si="6"/>
        <v>0</v>
      </c>
      <c r="AC14">
        <f t="shared" si="7"/>
        <v>0</v>
      </c>
      <c r="AD14">
        <f t="shared" si="8"/>
        <v>0</v>
      </c>
      <c r="AH14" s="2">
        <v>14</v>
      </c>
      <c r="AI14" s="2">
        <f t="shared" si="0"/>
        <v>39600</v>
      </c>
      <c r="AK14" s="8">
        <v>1967</v>
      </c>
      <c r="AL14" s="8">
        <v>170</v>
      </c>
      <c r="AO14" s="8">
        <v>5</v>
      </c>
      <c r="AP14" s="8">
        <v>5</v>
      </c>
    </row>
    <row r="15" spans="1:42">
      <c r="C15" s="17">
        <v>1995</v>
      </c>
      <c r="D15" s="18"/>
      <c r="E15" s="19">
        <v>11000</v>
      </c>
      <c r="F15" s="6"/>
      <c r="G15" s="48"/>
      <c r="H15" s="48"/>
      <c r="I15" s="48"/>
      <c r="J15" s="48"/>
      <c r="T15" s="4">
        <v>2005</v>
      </c>
      <c r="U15" s="4">
        <v>1.1599999999999999</v>
      </c>
      <c r="V15" s="7">
        <f t="shared" si="1"/>
        <v>2008</v>
      </c>
      <c r="W15" s="7">
        <f t="shared" si="2"/>
        <v>2008</v>
      </c>
      <c r="X15" s="7">
        <v>1976</v>
      </c>
      <c r="Y15">
        <f t="shared" si="3"/>
        <v>0</v>
      </c>
      <c r="Z15">
        <f t="shared" si="4"/>
        <v>0</v>
      </c>
      <c r="AA15">
        <f t="shared" si="5"/>
        <v>0</v>
      </c>
      <c r="AB15">
        <f t="shared" si="6"/>
        <v>0</v>
      </c>
      <c r="AC15">
        <f t="shared" si="7"/>
        <v>0</v>
      </c>
      <c r="AD15">
        <f t="shared" si="8"/>
        <v>0</v>
      </c>
      <c r="AH15" s="2">
        <v>15</v>
      </c>
      <c r="AI15" s="2">
        <f t="shared" si="0"/>
        <v>39600</v>
      </c>
      <c r="AK15" s="8">
        <v>1968</v>
      </c>
      <c r="AL15" s="8">
        <v>170</v>
      </c>
      <c r="AO15" s="8">
        <v>6</v>
      </c>
      <c r="AP15" s="8">
        <v>6</v>
      </c>
    </row>
    <row r="16" spans="1:42">
      <c r="C16" s="17">
        <v>1996</v>
      </c>
      <c r="D16" s="9"/>
      <c r="E16" s="19">
        <v>9000</v>
      </c>
      <c r="G16" s="48"/>
      <c r="H16" s="48"/>
      <c r="I16" s="48"/>
      <c r="J16" s="48"/>
      <c r="T16" s="4">
        <v>2004</v>
      </c>
      <c r="U16" s="4">
        <v>1.18</v>
      </c>
      <c r="V16" s="7">
        <f t="shared" si="1"/>
        <v>2009</v>
      </c>
      <c r="W16" s="7">
        <f t="shared" si="2"/>
        <v>2009</v>
      </c>
      <c r="X16" s="7">
        <v>1977</v>
      </c>
      <c r="Y16">
        <f t="shared" si="3"/>
        <v>0</v>
      </c>
      <c r="Z16">
        <f t="shared" si="4"/>
        <v>0</v>
      </c>
      <c r="AA16">
        <f t="shared" si="5"/>
        <v>0</v>
      </c>
      <c r="AB16">
        <f t="shared" si="6"/>
        <v>0</v>
      </c>
      <c r="AC16">
        <f t="shared" si="7"/>
        <v>0</v>
      </c>
      <c r="AD16">
        <f t="shared" si="8"/>
        <v>0</v>
      </c>
      <c r="AE16" s="2" t="s">
        <v>29</v>
      </c>
      <c r="AF16" s="20">
        <v>43466</v>
      </c>
      <c r="AH16" s="2">
        <v>16</v>
      </c>
      <c r="AI16" s="2">
        <f t="shared" si="0"/>
        <v>39600</v>
      </c>
      <c r="AK16" s="8">
        <v>1969</v>
      </c>
      <c r="AL16" s="8">
        <v>170</v>
      </c>
      <c r="AO16" s="8">
        <v>7</v>
      </c>
      <c r="AP16" s="8">
        <v>7</v>
      </c>
    </row>
    <row r="17" spans="3:42">
      <c r="C17" s="17">
        <v>1997</v>
      </c>
      <c r="D17" s="18"/>
      <c r="E17" s="19">
        <v>1000</v>
      </c>
      <c r="F17" s="6"/>
      <c r="G17" s="48"/>
      <c r="H17" s="48"/>
      <c r="I17" s="48"/>
      <c r="J17" s="48"/>
      <c r="T17" s="4">
        <v>2003</v>
      </c>
      <c r="U17" s="4">
        <v>1.1990000000000001</v>
      </c>
      <c r="V17" s="7">
        <f t="shared" si="1"/>
        <v>2010</v>
      </c>
      <c r="W17" s="7">
        <f t="shared" si="2"/>
        <v>2010</v>
      </c>
      <c r="X17" s="7">
        <v>1978</v>
      </c>
      <c r="Y17">
        <f t="shared" si="3"/>
        <v>0</v>
      </c>
      <c r="Z17">
        <f t="shared" si="4"/>
        <v>0</v>
      </c>
      <c r="AA17">
        <f t="shared" si="5"/>
        <v>0</v>
      </c>
      <c r="AB17">
        <f t="shared" si="6"/>
        <v>0</v>
      </c>
      <c r="AC17">
        <f t="shared" si="7"/>
        <v>0</v>
      </c>
      <c r="AD17">
        <f t="shared" si="8"/>
        <v>0</v>
      </c>
      <c r="AE17" s="2" t="s">
        <v>30</v>
      </c>
      <c r="AF17" s="2">
        <f>K4+F62</f>
        <v>2037</v>
      </c>
      <c r="AH17" s="2">
        <v>17</v>
      </c>
      <c r="AI17" s="2">
        <f t="shared" si="0"/>
        <v>39600</v>
      </c>
      <c r="AK17" s="8">
        <v>1970</v>
      </c>
      <c r="AL17" s="8">
        <v>171</v>
      </c>
      <c r="AO17" s="8">
        <v>8</v>
      </c>
      <c r="AP17" s="8">
        <v>8</v>
      </c>
    </row>
    <row r="18" spans="3:42">
      <c r="C18" s="17">
        <v>1998</v>
      </c>
      <c r="D18" s="9"/>
      <c r="E18" s="19">
        <v>3000</v>
      </c>
      <c r="G18" s="48"/>
      <c r="H18" s="48"/>
      <c r="I18" s="48"/>
      <c r="J18" s="48"/>
      <c r="T18" s="4">
        <v>2002</v>
      </c>
      <c r="U18" s="4">
        <v>1.2190000000000001</v>
      </c>
      <c r="V18" s="7">
        <f t="shared" si="1"/>
        <v>2011</v>
      </c>
      <c r="W18" s="7">
        <f t="shared" si="2"/>
        <v>2011</v>
      </c>
      <c r="X18" s="7">
        <v>1979</v>
      </c>
      <c r="Y18">
        <f t="shared" si="3"/>
        <v>0</v>
      </c>
      <c r="Z18">
        <f t="shared" si="4"/>
        <v>0</v>
      </c>
      <c r="AA18">
        <f t="shared" si="5"/>
        <v>0</v>
      </c>
      <c r="AB18">
        <f t="shared" si="6"/>
        <v>0</v>
      </c>
      <c r="AC18">
        <f t="shared" si="7"/>
        <v>0</v>
      </c>
      <c r="AD18">
        <f t="shared" si="8"/>
        <v>0</v>
      </c>
      <c r="AE18" s="2" t="s">
        <v>31</v>
      </c>
      <c r="AF18" s="20">
        <f>DATE(AF17,I4,G4)</f>
        <v>50192</v>
      </c>
      <c r="AH18" s="2">
        <v>18</v>
      </c>
      <c r="AI18" s="2">
        <f t="shared" si="0"/>
        <v>39600</v>
      </c>
      <c r="AK18" s="8">
        <v>1971</v>
      </c>
      <c r="AL18" s="8">
        <v>171</v>
      </c>
      <c r="AO18" s="8">
        <v>9</v>
      </c>
      <c r="AP18" s="8">
        <v>9</v>
      </c>
    </row>
    <row r="19" spans="3:42">
      <c r="C19" s="17">
        <v>1999</v>
      </c>
      <c r="D19" s="18"/>
      <c r="E19" s="19">
        <v>7000</v>
      </c>
      <c r="F19" s="6"/>
      <c r="G19" s="48"/>
      <c r="H19" s="48"/>
      <c r="I19" s="48"/>
      <c r="J19" s="48"/>
      <c r="T19" s="4">
        <v>2001</v>
      </c>
      <c r="U19" s="4">
        <v>1.246</v>
      </c>
      <c r="V19" s="7">
        <f t="shared" si="1"/>
        <v>2012</v>
      </c>
      <c r="W19" s="7">
        <f t="shared" si="2"/>
        <v>2012</v>
      </c>
      <c r="X19" s="7">
        <v>1980</v>
      </c>
      <c r="Y19">
        <f t="shared" si="3"/>
        <v>0</v>
      </c>
      <c r="Z19">
        <f t="shared" si="4"/>
        <v>0</v>
      </c>
      <c r="AA19">
        <f t="shared" si="5"/>
        <v>0</v>
      </c>
      <c r="AB19">
        <f t="shared" si="6"/>
        <v>0</v>
      </c>
      <c r="AC19">
        <f t="shared" si="7"/>
        <v>0</v>
      </c>
      <c r="AD19">
        <f t="shared" si="8"/>
        <v>0</v>
      </c>
      <c r="AE19" s="2" t="s">
        <v>32</v>
      </c>
      <c r="AF19" s="2">
        <f>(AF18-AF16)/365.25</f>
        <v>18.414784394250514</v>
      </c>
      <c r="AG19" s="2" t="s">
        <v>33</v>
      </c>
      <c r="AH19" s="2">
        <v>19</v>
      </c>
      <c r="AI19" s="2">
        <f t="shared" si="0"/>
        <v>38912</v>
      </c>
      <c r="AK19" s="8">
        <v>1972</v>
      </c>
      <c r="AL19" s="8">
        <v>171</v>
      </c>
      <c r="AO19" s="8">
        <v>10</v>
      </c>
      <c r="AP19" s="8">
        <v>10</v>
      </c>
    </row>
    <row r="20" spans="3:42">
      <c r="C20" s="17">
        <v>2000</v>
      </c>
      <c r="D20" s="9"/>
      <c r="E20" s="19">
        <v>60000</v>
      </c>
      <c r="G20" s="48"/>
      <c r="H20" s="48"/>
      <c r="I20" s="48"/>
      <c r="J20" s="48"/>
      <c r="T20" s="4">
        <v>2000</v>
      </c>
      <c r="U20" s="4">
        <v>1.2709999999999999</v>
      </c>
      <c r="V20" s="7">
        <f t="shared" si="1"/>
        <v>2013</v>
      </c>
      <c r="W20" s="7">
        <f t="shared" si="2"/>
        <v>2013</v>
      </c>
      <c r="X20" s="7">
        <v>1981</v>
      </c>
      <c r="Y20">
        <f t="shared" si="3"/>
        <v>0</v>
      </c>
      <c r="Z20">
        <f t="shared" si="4"/>
        <v>0</v>
      </c>
      <c r="AA20">
        <f t="shared" si="5"/>
        <v>0</v>
      </c>
      <c r="AB20">
        <f t="shared" si="6"/>
        <v>0</v>
      </c>
      <c r="AC20">
        <f t="shared" si="7"/>
        <v>0</v>
      </c>
      <c r="AD20">
        <f t="shared" si="8"/>
        <v>0</v>
      </c>
      <c r="AE20" s="2" t="s">
        <v>34</v>
      </c>
      <c r="AF20" s="2">
        <f>ROUNDDOWN(4*AF19,0)</f>
        <v>73</v>
      </c>
      <c r="AG20" s="2" t="s">
        <v>22</v>
      </c>
      <c r="AH20" s="2">
        <v>20</v>
      </c>
      <c r="AI20" s="2">
        <f t="shared" si="0"/>
        <v>36828</v>
      </c>
      <c r="AK20" s="8">
        <v>1973</v>
      </c>
      <c r="AL20" s="8">
        <v>172</v>
      </c>
      <c r="AO20" s="8">
        <v>11</v>
      </c>
      <c r="AP20" s="8">
        <v>11</v>
      </c>
    </row>
    <row r="21" spans="3:42">
      <c r="C21" s="17">
        <v>2001</v>
      </c>
      <c r="D21" s="18"/>
      <c r="E21" s="19">
        <v>70000</v>
      </c>
      <c r="F21" s="6"/>
      <c r="G21" s="48"/>
      <c r="H21" s="48"/>
      <c r="I21" s="48"/>
      <c r="J21" s="48"/>
      <c r="T21" s="4">
        <v>1999</v>
      </c>
      <c r="U21" s="4">
        <v>1.278</v>
      </c>
      <c r="V21" s="7">
        <f t="shared" si="1"/>
        <v>2014</v>
      </c>
      <c r="W21" s="7">
        <f t="shared" si="2"/>
        <v>2014</v>
      </c>
      <c r="X21" s="7">
        <v>1982</v>
      </c>
      <c r="Y21">
        <f t="shared" si="3"/>
        <v>0</v>
      </c>
      <c r="Z21">
        <f t="shared" si="4"/>
        <v>0</v>
      </c>
      <c r="AA21">
        <f t="shared" si="5"/>
        <v>0</v>
      </c>
      <c r="AB21">
        <f t="shared" si="6"/>
        <v>0</v>
      </c>
      <c r="AC21">
        <f t="shared" si="7"/>
        <v>0</v>
      </c>
      <c r="AD21">
        <f t="shared" si="8"/>
        <v>0</v>
      </c>
      <c r="AE21" s="2" t="s">
        <v>35</v>
      </c>
      <c r="AF21" s="2">
        <f>AF20+G8</f>
        <v>151</v>
      </c>
      <c r="AG21" s="2" t="s">
        <v>22</v>
      </c>
      <c r="AH21" s="2">
        <v>21</v>
      </c>
      <c r="AI21" s="2">
        <f t="shared" si="0"/>
        <v>36828</v>
      </c>
      <c r="AO21" s="8">
        <v>12</v>
      </c>
      <c r="AP21" s="8">
        <v>12</v>
      </c>
    </row>
    <row r="22" spans="3:42">
      <c r="C22" s="17">
        <v>2002</v>
      </c>
      <c r="D22" s="9"/>
      <c r="E22" s="19"/>
      <c r="G22" s="48">
        <v>16000</v>
      </c>
      <c r="H22" s="48"/>
      <c r="I22" s="48"/>
      <c r="J22" s="48"/>
      <c r="T22" s="4">
        <v>1998</v>
      </c>
      <c r="U22" s="4">
        <v>1.2929999999999999</v>
      </c>
      <c r="V22" s="7">
        <f t="shared" si="1"/>
        <v>2015</v>
      </c>
      <c r="W22" s="7">
        <f t="shared" si="2"/>
        <v>2015</v>
      </c>
      <c r="X22" s="7">
        <v>1983</v>
      </c>
      <c r="Y22">
        <f t="shared" si="3"/>
        <v>0</v>
      </c>
      <c r="Z22">
        <f t="shared" si="4"/>
        <v>0</v>
      </c>
      <c r="AA22">
        <f t="shared" si="5"/>
        <v>0</v>
      </c>
      <c r="AB22">
        <f t="shared" si="6"/>
        <v>0</v>
      </c>
      <c r="AC22">
        <f t="shared" si="7"/>
        <v>0</v>
      </c>
      <c r="AD22">
        <f t="shared" si="8"/>
        <v>0</v>
      </c>
      <c r="AE22" s="2" t="s">
        <v>36</v>
      </c>
      <c r="AF22" s="2">
        <f>AM22</f>
        <v>172</v>
      </c>
      <c r="AG22" s="2" t="s">
        <v>22</v>
      </c>
      <c r="AH22" s="2">
        <v>22</v>
      </c>
      <c r="AI22" s="2">
        <f t="shared" si="0"/>
        <v>36540</v>
      </c>
      <c r="AK22" s="8" t="s">
        <v>37</v>
      </c>
      <c r="AL22" s="21"/>
      <c r="AM22" s="8">
        <f>IF(K4&gt;=1973,172,VLOOKUP(K4,AK3:AL20,2))</f>
        <v>172</v>
      </c>
      <c r="AO22" s="8">
        <v>13</v>
      </c>
      <c r="AP22" s="2"/>
    </row>
    <row r="23" spans="3:42">
      <c r="C23" s="17">
        <v>2003</v>
      </c>
      <c r="D23" s="18"/>
      <c r="E23" s="19"/>
      <c r="F23" s="6"/>
      <c r="G23" s="48">
        <v>20000</v>
      </c>
      <c r="H23" s="48"/>
      <c r="I23" s="48"/>
      <c r="J23" s="48"/>
      <c r="T23" s="4">
        <v>1997</v>
      </c>
      <c r="U23" s="4">
        <v>1.3069999999999999</v>
      </c>
      <c r="V23" s="7">
        <f t="shared" si="1"/>
        <v>2016</v>
      </c>
      <c r="W23" s="7">
        <f t="shared" si="2"/>
        <v>2016</v>
      </c>
      <c r="X23" s="7">
        <v>1984</v>
      </c>
      <c r="Y23">
        <f t="shared" si="3"/>
        <v>0</v>
      </c>
      <c r="Z23">
        <f t="shared" si="4"/>
        <v>0</v>
      </c>
      <c r="AA23">
        <f t="shared" si="5"/>
        <v>0</v>
      </c>
      <c r="AB23">
        <f t="shared" si="6"/>
        <v>0</v>
      </c>
      <c r="AC23">
        <f t="shared" si="7"/>
        <v>0</v>
      </c>
      <c r="AD23">
        <f t="shared" si="8"/>
        <v>0</v>
      </c>
      <c r="AE23" t="s">
        <v>38</v>
      </c>
      <c r="AF23">
        <f>AF22-AF21</f>
        <v>21</v>
      </c>
      <c r="AG23"/>
      <c r="AH23" s="2">
        <v>23</v>
      </c>
      <c r="AI23" s="2">
        <f t="shared" si="0"/>
        <v>33792</v>
      </c>
      <c r="AO23" s="8">
        <v>14</v>
      </c>
      <c r="AP23" s="2"/>
    </row>
    <row r="24" spans="3:42">
      <c r="C24" s="17">
        <v>2004</v>
      </c>
      <c r="D24" s="9"/>
      <c r="E24" s="19"/>
      <c r="G24" s="48">
        <v>20000</v>
      </c>
      <c r="H24" s="48"/>
      <c r="I24" s="48"/>
      <c r="J24" s="48"/>
      <c r="T24" s="4">
        <v>1996</v>
      </c>
      <c r="U24" s="4">
        <v>1.321</v>
      </c>
      <c r="V24" s="7">
        <f t="shared" si="1"/>
        <v>2017</v>
      </c>
      <c r="W24" s="7">
        <f t="shared" si="2"/>
        <v>2017</v>
      </c>
      <c r="X24" s="7">
        <v>1985</v>
      </c>
      <c r="Y24">
        <f t="shared" si="3"/>
        <v>0</v>
      </c>
      <c r="Z24">
        <f t="shared" si="4"/>
        <v>0</v>
      </c>
      <c r="AA24">
        <f t="shared" si="5"/>
        <v>0</v>
      </c>
      <c r="AB24">
        <f t="shared" si="6"/>
        <v>0</v>
      </c>
      <c r="AC24">
        <f t="shared" si="7"/>
        <v>0</v>
      </c>
      <c r="AD24">
        <f t="shared" si="8"/>
        <v>0</v>
      </c>
      <c r="AE24" t="s">
        <v>39</v>
      </c>
      <c r="AF24" s="2">
        <f>(67-F62)*4</f>
        <v>12</v>
      </c>
      <c r="AH24" s="2">
        <v>24</v>
      </c>
      <c r="AI24" s="2">
        <f t="shared" si="0"/>
        <v>27336</v>
      </c>
      <c r="AO24" s="8">
        <v>15</v>
      </c>
      <c r="AP24" s="2"/>
    </row>
    <row r="25" spans="3:42">
      <c r="C25" s="17">
        <v>2005</v>
      </c>
      <c r="D25" s="18"/>
      <c r="E25" s="19"/>
      <c r="F25" s="6"/>
      <c r="G25" s="48">
        <v>22000</v>
      </c>
      <c r="H25" s="48"/>
      <c r="I25" s="48"/>
      <c r="J25" s="48"/>
      <c r="T25" s="4">
        <v>1995</v>
      </c>
      <c r="U25" s="4">
        <v>1.3540000000000001</v>
      </c>
      <c r="V25" s="7">
        <f t="shared" si="1"/>
        <v>2018</v>
      </c>
      <c r="W25" s="7">
        <f t="shared" si="2"/>
        <v>2018</v>
      </c>
      <c r="X25" s="7">
        <v>1986</v>
      </c>
      <c r="Y25">
        <f t="shared" si="3"/>
        <v>0</v>
      </c>
      <c r="Z25">
        <f t="shared" si="4"/>
        <v>0</v>
      </c>
      <c r="AA25">
        <f t="shared" si="5"/>
        <v>0</v>
      </c>
      <c r="AB25">
        <f t="shared" si="6"/>
        <v>0</v>
      </c>
      <c r="AC25">
        <f t="shared" si="7"/>
        <v>0</v>
      </c>
      <c r="AD25">
        <f t="shared" si="8"/>
        <v>0</v>
      </c>
      <c r="AE25" s="2" t="s">
        <v>40</v>
      </c>
      <c r="AF25" s="22">
        <f>IF(AF21&gt;AF22,1+AF23*0.0125,1-MIN(AF23,AF24)*0.0125)</f>
        <v>0.85</v>
      </c>
      <c r="AH25" s="2">
        <v>25</v>
      </c>
      <c r="AI25" s="2">
        <f t="shared" si="0"/>
        <v>26880.000000000004</v>
      </c>
      <c r="AO25" s="8">
        <v>16</v>
      </c>
      <c r="AP25" s="2"/>
    </row>
    <row r="26" spans="3:42">
      <c r="C26" s="17">
        <v>2006</v>
      </c>
      <c r="D26" s="9"/>
      <c r="E26" s="19"/>
      <c r="G26" s="48">
        <v>24000</v>
      </c>
      <c r="H26" s="48"/>
      <c r="I26" s="48"/>
      <c r="J26" s="48"/>
      <c r="T26" s="4">
        <v>1994</v>
      </c>
      <c r="U26" s="4">
        <v>1.37</v>
      </c>
      <c r="V26" s="7">
        <f t="shared" si="1"/>
        <v>3000</v>
      </c>
      <c r="W26" s="7">
        <f t="shared" si="2"/>
        <v>0</v>
      </c>
      <c r="X26" s="7">
        <v>1987</v>
      </c>
      <c r="Y26">
        <f t="shared" si="3"/>
        <v>0</v>
      </c>
      <c r="Z26">
        <f t="shared" si="4"/>
        <v>0</v>
      </c>
      <c r="AA26">
        <f t="shared" si="5"/>
        <v>0</v>
      </c>
      <c r="AB26">
        <f t="shared" si="6"/>
        <v>0</v>
      </c>
      <c r="AC26">
        <f t="shared" si="7"/>
        <v>0</v>
      </c>
      <c r="AD26">
        <f t="shared" si="8"/>
        <v>0</v>
      </c>
      <c r="AH26" s="2"/>
      <c r="AI26" s="23">
        <f>AVERAGE(AI1:AI25)</f>
        <v>37996.639999999999</v>
      </c>
      <c r="AJ26" s="2" t="s">
        <v>41</v>
      </c>
      <c r="AK26" s="2"/>
      <c r="AL26" s="2"/>
      <c r="AO26" s="8">
        <v>17</v>
      </c>
      <c r="AP26" s="2"/>
    </row>
    <row r="27" spans="3:42">
      <c r="C27" s="17">
        <v>2007</v>
      </c>
      <c r="D27" s="18"/>
      <c r="E27" s="19"/>
      <c r="F27" s="6"/>
      <c r="G27" s="48">
        <v>24000</v>
      </c>
      <c r="H27" s="48"/>
      <c r="I27" s="48"/>
      <c r="J27" s="48"/>
      <c r="T27" s="4">
        <v>1993</v>
      </c>
      <c r="U27" s="4">
        <v>1.395</v>
      </c>
      <c r="V27" s="7">
        <f t="shared" si="1"/>
        <v>3000</v>
      </c>
      <c r="W27" s="7">
        <f t="shared" si="2"/>
        <v>0</v>
      </c>
      <c r="X27" s="7">
        <v>1988</v>
      </c>
      <c r="Y27">
        <f t="shared" si="3"/>
        <v>0</v>
      </c>
      <c r="Z27">
        <f t="shared" si="4"/>
        <v>0</v>
      </c>
      <c r="AA27">
        <f t="shared" si="5"/>
        <v>0</v>
      </c>
      <c r="AB27">
        <f t="shared" si="6"/>
        <v>0</v>
      </c>
      <c r="AC27">
        <f t="shared" si="7"/>
        <v>0</v>
      </c>
      <c r="AD27">
        <f t="shared" si="8"/>
        <v>0</v>
      </c>
      <c r="AE27" s="24">
        <v>2019</v>
      </c>
      <c r="AF27" s="25">
        <f>12*F64</f>
        <v>37200</v>
      </c>
      <c r="AG27" s="2" t="s">
        <v>42</v>
      </c>
      <c r="AH27" s="2"/>
      <c r="AI27" s="26">
        <f>AI26*AF25/2/12</f>
        <v>1345.7143333333333</v>
      </c>
      <c r="AJ27" s="2" t="s">
        <v>43</v>
      </c>
      <c r="AO27" s="8">
        <v>18</v>
      </c>
      <c r="AP27" s="2"/>
    </row>
    <row r="28" spans="3:42">
      <c r="C28" s="17">
        <v>2008</v>
      </c>
      <c r="D28" s="9"/>
      <c r="E28" s="19"/>
      <c r="G28" s="48">
        <v>24000</v>
      </c>
      <c r="H28" s="48"/>
      <c r="I28" s="48"/>
      <c r="J28" s="48"/>
      <c r="T28" s="4">
        <v>1992</v>
      </c>
      <c r="U28" s="4">
        <v>1.395</v>
      </c>
      <c r="V28" s="7">
        <f t="shared" si="1"/>
        <v>3000</v>
      </c>
      <c r="W28" s="7">
        <f t="shared" si="2"/>
        <v>0</v>
      </c>
      <c r="X28" s="7">
        <v>1989</v>
      </c>
      <c r="Y28">
        <f t="shared" si="3"/>
        <v>0</v>
      </c>
      <c r="Z28">
        <f t="shared" si="4"/>
        <v>0</v>
      </c>
      <c r="AA28">
        <f t="shared" si="5"/>
        <v>0</v>
      </c>
      <c r="AB28">
        <f t="shared" si="6"/>
        <v>0</v>
      </c>
      <c r="AC28">
        <f t="shared" si="7"/>
        <v>0</v>
      </c>
      <c r="AD28">
        <f t="shared" si="8"/>
        <v>0</v>
      </c>
      <c r="AE28" s="27">
        <f>AF17-1</f>
        <v>2036</v>
      </c>
      <c r="AF28" s="25">
        <f>12*F63</f>
        <v>42000</v>
      </c>
      <c r="AG28" s="2" t="s">
        <v>44</v>
      </c>
      <c r="AO28" s="8">
        <v>19</v>
      </c>
      <c r="AP28" s="2"/>
    </row>
    <row r="29" spans="3:42">
      <c r="C29" s="17">
        <v>2009</v>
      </c>
      <c r="D29" s="18"/>
      <c r="E29" s="19"/>
      <c r="F29" s="6"/>
      <c r="G29" s="48">
        <v>23000</v>
      </c>
      <c r="H29" s="48"/>
      <c r="I29" s="48"/>
      <c r="J29" s="48"/>
      <c r="T29" s="4">
        <v>1991</v>
      </c>
      <c r="U29" s="4">
        <v>1.4410000000000001</v>
      </c>
      <c r="V29" s="7">
        <f t="shared" si="1"/>
        <v>3000</v>
      </c>
      <c r="W29" s="7">
        <f t="shared" si="2"/>
        <v>0</v>
      </c>
      <c r="X29" s="7">
        <v>1990</v>
      </c>
      <c r="Y29">
        <f t="shared" si="3"/>
        <v>0</v>
      </c>
      <c r="Z29">
        <f t="shared" si="4"/>
        <v>0</v>
      </c>
      <c r="AA29">
        <f t="shared" si="5"/>
        <v>0</v>
      </c>
      <c r="AB29">
        <f t="shared" si="6"/>
        <v>0</v>
      </c>
      <c r="AC29">
        <f t="shared" si="7"/>
        <v>0</v>
      </c>
      <c r="AD29">
        <f t="shared" si="8"/>
        <v>0</v>
      </c>
      <c r="AE29" s="27">
        <f>AE28-AE27+1</f>
        <v>18</v>
      </c>
      <c r="AF29" s="25">
        <f>(AF28+AF27)/2</f>
        <v>39600</v>
      </c>
      <c r="AG29" s="2" t="s">
        <v>45</v>
      </c>
      <c r="AO29" s="8">
        <v>20</v>
      </c>
      <c r="AP29" s="2"/>
    </row>
    <row r="30" spans="3:42">
      <c r="C30" s="17">
        <v>2010</v>
      </c>
      <c r="D30" s="9"/>
      <c r="E30" s="19"/>
      <c r="G30" s="48">
        <v>24000</v>
      </c>
      <c r="H30" s="48"/>
      <c r="I30" s="48"/>
      <c r="J30" s="48"/>
      <c r="T30" s="4">
        <v>1990</v>
      </c>
      <c r="U30" s="4">
        <v>1.464</v>
      </c>
      <c r="V30" s="7">
        <f t="shared" si="1"/>
        <v>3000</v>
      </c>
      <c r="W30" s="7">
        <f t="shared" si="2"/>
        <v>0</v>
      </c>
      <c r="X30" s="7">
        <v>1991</v>
      </c>
      <c r="Y30">
        <f t="shared" si="3"/>
        <v>0</v>
      </c>
      <c r="Z30">
        <f t="shared" si="4"/>
        <v>0</v>
      </c>
      <c r="AA30">
        <f t="shared" si="5"/>
        <v>0</v>
      </c>
      <c r="AB30">
        <f t="shared" si="6"/>
        <v>0</v>
      </c>
      <c r="AC30">
        <f t="shared" si="7"/>
        <v>0</v>
      </c>
      <c r="AD30">
        <f t="shared" si="8"/>
        <v>0</v>
      </c>
      <c r="AE30"/>
      <c r="AF30"/>
      <c r="AG30"/>
      <c r="AO30" s="8">
        <v>21</v>
      </c>
      <c r="AP30" s="2"/>
    </row>
    <row r="31" spans="3:42">
      <c r="C31" s="17">
        <v>2011</v>
      </c>
      <c r="D31" s="18"/>
      <c r="E31" s="19"/>
      <c r="F31" s="6"/>
      <c r="G31" s="48">
        <v>24000</v>
      </c>
      <c r="H31" s="48"/>
      <c r="I31" s="48"/>
      <c r="J31" s="48"/>
      <c r="T31" s="4">
        <v>1989</v>
      </c>
      <c r="U31" s="4">
        <v>1.504</v>
      </c>
      <c r="V31" s="7">
        <f t="shared" si="1"/>
        <v>3000</v>
      </c>
      <c r="W31" s="7">
        <f t="shared" si="2"/>
        <v>0</v>
      </c>
      <c r="X31" s="7">
        <v>1992</v>
      </c>
      <c r="Y31">
        <f t="shared" si="3"/>
        <v>0</v>
      </c>
      <c r="Z31">
        <f t="shared" si="4"/>
        <v>0</v>
      </c>
      <c r="AA31">
        <f t="shared" si="5"/>
        <v>0</v>
      </c>
      <c r="AB31">
        <f t="shared" si="6"/>
        <v>0</v>
      </c>
      <c r="AC31">
        <f t="shared" si="7"/>
        <v>0</v>
      </c>
      <c r="AD31">
        <f t="shared" si="8"/>
        <v>0</v>
      </c>
      <c r="AE31" t="s">
        <v>46</v>
      </c>
      <c r="AF31" s="28">
        <f xml:space="preserve"> MAX(AG50,AJ54)</f>
        <v>0.88</v>
      </c>
      <c r="AG31"/>
      <c r="AO31" s="8">
        <v>22</v>
      </c>
      <c r="AP31" s="2"/>
    </row>
    <row r="32" spans="3:42">
      <c r="C32" s="17">
        <v>2012</v>
      </c>
      <c r="D32" s="9"/>
      <c r="E32" s="19"/>
      <c r="G32" s="48">
        <v>24000</v>
      </c>
      <c r="H32" s="48"/>
      <c r="I32" s="48"/>
      <c r="J32" s="48"/>
      <c r="T32" s="4">
        <v>1988</v>
      </c>
      <c r="U32" s="4">
        <v>1.56</v>
      </c>
      <c r="V32" s="7">
        <f t="shared" si="1"/>
        <v>3000</v>
      </c>
      <c r="W32" s="7">
        <f t="shared" si="2"/>
        <v>0</v>
      </c>
      <c r="X32" s="7">
        <v>1993</v>
      </c>
      <c r="Y32">
        <f t="shared" si="3"/>
        <v>0</v>
      </c>
      <c r="Z32">
        <f t="shared" si="4"/>
        <v>0</v>
      </c>
      <c r="AA32">
        <f t="shared" si="5"/>
        <v>0</v>
      </c>
      <c r="AB32">
        <f t="shared" si="6"/>
        <v>0</v>
      </c>
      <c r="AC32">
        <f t="shared" si="7"/>
        <v>0</v>
      </c>
      <c r="AD32">
        <f t="shared" si="8"/>
        <v>0</v>
      </c>
      <c r="AE32" s="2" t="s">
        <v>47</v>
      </c>
      <c r="AF32" s="2">
        <v>0.48031000000000001</v>
      </c>
      <c r="AG32" s="2" t="s">
        <v>4</v>
      </c>
      <c r="AI32" s="4" t="s">
        <v>22</v>
      </c>
      <c r="AJ32" s="4" t="s">
        <v>48</v>
      </c>
      <c r="AO32" s="8">
        <v>23</v>
      </c>
      <c r="AP32" s="2"/>
    </row>
    <row r="33" spans="3:42">
      <c r="C33" s="17">
        <v>2013</v>
      </c>
      <c r="D33" s="18"/>
      <c r="E33" s="19"/>
      <c r="F33" s="6"/>
      <c r="G33" s="48">
        <v>19000</v>
      </c>
      <c r="H33" s="48"/>
      <c r="I33" s="48"/>
      <c r="J33" s="48"/>
      <c r="T33" s="4">
        <v>1987</v>
      </c>
      <c r="U33" s="4">
        <v>1.597</v>
      </c>
      <c r="V33" s="7">
        <f t="shared" si="1"/>
        <v>3000</v>
      </c>
      <c r="W33" s="7">
        <f t="shared" si="2"/>
        <v>0</v>
      </c>
      <c r="X33" s="7">
        <v>1994</v>
      </c>
      <c r="Y33">
        <f t="shared" si="3"/>
        <v>0</v>
      </c>
      <c r="Z33">
        <f t="shared" si="4"/>
        <v>0</v>
      </c>
      <c r="AA33">
        <f t="shared" si="5"/>
        <v>0</v>
      </c>
      <c r="AB33">
        <f t="shared" si="6"/>
        <v>0</v>
      </c>
      <c r="AC33">
        <f t="shared" si="7"/>
        <v>0</v>
      </c>
      <c r="AD33">
        <f t="shared" si="8"/>
        <v>0</v>
      </c>
      <c r="AE33" s="2" t="s">
        <v>49</v>
      </c>
      <c r="AF33" s="2">
        <v>4.9580000000000002</v>
      </c>
      <c r="AG33" s="2" t="s">
        <v>4</v>
      </c>
      <c r="AI33" s="4">
        <v>152</v>
      </c>
      <c r="AJ33" s="8">
        <v>0.78</v>
      </c>
      <c r="AO33" s="8">
        <v>24</v>
      </c>
      <c r="AP33" s="2"/>
    </row>
    <row r="34" spans="3:42">
      <c r="C34" s="17">
        <v>2014</v>
      </c>
      <c r="D34" s="9"/>
      <c r="E34" s="19"/>
      <c r="G34" s="48">
        <v>38000</v>
      </c>
      <c r="H34" s="48"/>
      <c r="I34" s="48"/>
      <c r="J34" s="48"/>
      <c r="T34" s="4">
        <v>1986</v>
      </c>
      <c r="U34" s="4">
        <v>1.657</v>
      </c>
      <c r="V34" s="7">
        <f t="shared" si="1"/>
        <v>3000</v>
      </c>
      <c r="W34" s="7">
        <f t="shared" si="2"/>
        <v>0</v>
      </c>
      <c r="X34" s="7">
        <v>1995</v>
      </c>
      <c r="Y34">
        <f t="shared" si="3"/>
        <v>1676.4</v>
      </c>
      <c r="Z34">
        <f t="shared" si="4"/>
        <v>0</v>
      </c>
      <c r="AA34">
        <f t="shared" si="5"/>
        <v>1676.4</v>
      </c>
      <c r="AB34">
        <f t="shared" si="6"/>
        <v>2269.8456000000001</v>
      </c>
      <c r="AC34">
        <f t="shared" si="7"/>
        <v>0</v>
      </c>
      <c r="AD34">
        <f t="shared" si="8"/>
        <v>2269.8456000000001</v>
      </c>
      <c r="AE34" s="2" t="s">
        <v>50</v>
      </c>
      <c r="AG34" s="2">
        <f>G6</f>
        <v>5342</v>
      </c>
      <c r="AI34" s="4">
        <v>153</v>
      </c>
      <c r="AJ34" s="8">
        <v>0.79250000000000009</v>
      </c>
      <c r="AO34" s="8">
        <v>25</v>
      </c>
      <c r="AP34" s="2"/>
    </row>
    <row r="35" spans="3:42">
      <c r="C35" s="17">
        <v>2015</v>
      </c>
      <c r="D35" s="18"/>
      <c r="E35" s="19"/>
      <c r="F35" s="6"/>
      <c r="G35" s="48">
        <v>33000</v>
      </c>
      <c r="H35" s="48"/>
      <c r="I35" s="48"/>
      <c r="J35" s="48"/>
      <c r="T35" s="4">
        <v>1985</v>
      </c>
      <c r="U35" s="4">
        <v>1.6960000000000002</v>
      </c>
      <c r="V35" s="7">
        <f t="shared" si="1"/>
        <v>3000</v>
      </c>
      <c r="W35" s="7">
        <f t="shared" si="2"/>
        <v>0</v>
      </c>
      <c r="X35" s="7">
        <v>1996</v>
      </c>
      <c r="Y35">
        <f t="shared" si="3"/>
        <v>1371.6000000000001</v>
      </c>
      <c r="Z35">
        <f t="shared" si="4"/>
        <v>0</v>
      </c>
      <c r="AA35">
        <f t="shared" si="5"/>
        <v>1371.6000000000001</v>
      </c>
      <c r="AB35">
        <f t="shared" si="6"/>
        <v>1811.8836000000001</v>
      </c>
      <c r="AC35">
        <f t="shared" si="7"/>
        <v>0</v>
      </c>
      <c r="AD35">
        <f t="shared" si="8"/>
        <v>1811.8836000000001</v>
      </c>
      <c r="AE35" s="2" t="s">
        <v>51</v>
      </c>
      <c r="AG35" s="2">
        <f>ROUNDDOWN(0.056*AC80/AF33,0)</f>
        <v>8050</v>
      </c>
      <c r="AI35" s="4">
        <v>154</v>
      </c>
      <c r="AJ35" s="8">
        <v>0.80500000000000005</v>
      </c>
      <c r="AO35" s="8">
        <v>26</v>
      </c>
      <c r="AP35" s="2"/>
    </row>
    <row r="36" spans="3:42">
      <c r="C36" s="17">
        <v>2016</v>
      </c>
      <c r="D36" s="9"/>
      <c r="E36" s="19"/>
      <c r="G36" s="48">
        <v>36000</v>
      </c>
      <c r="H36" s="48"/>
      <c r="I36" s="48"/>
      <c r="J36" s="48"/>
      <c r="T36" s="4">
        <v>1984</v>
      </c>
      <c r="U36" s="4">
        <v>1.7690000000000001</v>
      </c>
      <c r="V36" s="7">
        <f t="shared" si="1"/>
        <v>3000</v>
      </c>
      <c r="W36" s="7">
        <f t="shared" si="2"/>
        <v>0</v>
      </c>
      <c r="X36" s="7">
        <v>1997</v>
      </c>
      <c r="Y36">
        <f t="shared" si="3"/>
        <v>152.4</v>
      </c>
      <c r="Z36">
        <f t="shared" si="4"/>
        <v>0</v>
      </c>
      <c r="AA36">
        <f t="shared" si="5"/>
        <v>152.4</v>
      </c>
      <c r="AB36">
        <f t="shared" si="6"/>
        <v>199.18680000000001</v>
      </c>
      <c r="AC36">
        <f t="shared" si="7"/>
        <v>0</v>
      </c>
      <c r="AD36">
        <f t="shared" si="8"/>
        <v>199.18680000000001</v>
      </c>
      <c r="AE36" s="2" t="s">
        <v>52</v>
      </c>
      <c r="AG36" s="2">
        <f>AG35+AG34</f>
        <v>13392</v>
      </c>
      <c r="AI36" s="4">
        <v>155</v>
      </c>
      <c r="AJ36" s="8">
        <v>0.8175</v>
      </c>
      <c r="AO36" s="8">
        <v>27</v>
      </c>
      <c r="AP36" s="2"/>
    </row>
    <row r="37" spans="3:42">
      <c r="C37" s="17">
        <v>2017</v>
      </c>
      <c r="D37" s="18"/>
      <c r="E37" s="19"/>
      <c r="F37" s="6"/>
      <c r="G37" s="48">
        <v>36000</v>
      </c>
      <c r="H37" s="48"/>
      <c r="I37" s="48"/>
      <c r="J37" s="48"/>
      <c r="T37" s="4">
        <v>1983</v>
      </c>
      <c r="U37" s="4">
        <v>1.8660000000000001</v>
      </c>
      <c r="V37" s="7">
        <f t="shared" si="1"/>
        <v>3000</v>
      </c>
      <c r="W37" s="7">
        <f t="shared" si="2"/>
        <v>0</v>
      </c>
      <c r="X37" s="7">
        <v>1998</v>
      </c>
      <c r="Y37">
        <f t="shared" si="3"/>
        <v>457.20000000000005</v>
      </c>
      <c r="Z37">
        <f t="shared" si="4"/>
        <v>0</v>
      </c>
      <c r="AA37">
        <f t="shared" si="5"/>
        <v>457.20000000000005</v>
      </c>
      <c r="AB37">
        <f t="shared" si="6"/>
        <v>591.15960000000007</v>
      </c>
      <c r="AC37">
        <f t="shared" si="7"/>
        <v>0</v>
      </c>
      <c r="AD37">
        <f t="shared" si="8"/>
        <v>591.15960000000007</v>
      </c>
      <c r="AF37" s="2" t="s">
        <v>53</v>
      </c>
      <c r="AG37" s="29">
        <f>AF32*AG36*AF31/12</f>
        <v>471.70284480000004</v>
      </c>
      <c r="AI37" s="4">
        <v>156</v>
      </c>
      <c r="AJ37" s="8">
        <v>0.83</v>
      </c>
      <c r="AO37" s="8">
        <v>28</v>
      </c>
      <c r="AP37" s="2"/>
    </row>
    <row r="38" spans="3:42">
      <c r="C38" s="17">
        <v>2018</v>
      </c>
      <c r="D38" s="9"/>
      <c r="E38" s="19"/>
      <c r="G38" s="48">
        <v>36000</v>
      </c>
      <c r="H38" s="48"/>
      <c r="I38" s="48"/>
      <c r="J38" s="48"/>
      <c r="T38" s="4">
        <v>1982</v>
      </c>
      <c r="U38" s="4">
        <v>1.978</v>
      </c>
      <c r="V38" s="7">
        <f t="shared" si="1"/>
        <v>3000</v>
      </c>
      <c r="W38" s="7">
        <f t="shared" si="2"/>
        <v>0</v>
      </c>
      <c r="X38" s="7">
        <v>1999</v>
      </c>
      <c r="Y38">
        <f t="shared" si="3"/>
        <v>1066.8</v>
      </c>
      <c r="Z38">
        <f t="shared" si="4"/>
        <v>0</v>
      </c>
      <c r="AA38">
        <f t="shared" si="5"/>
        <v>1066.8</v>
      </c>
      <c r="AB38">
        <f t="shared" si="6"/>
        <v>1363.3704</v>
      </c>
      <c r="AC38">
        <f t="shared" si="7"/>
        <v>0</v>
      </c>
      <c r="AD38">
        <f t="shared" si="8"/>
        <v>1363.3704</v>
      </c>
      <c r="AI38" s="4">
        <v>157</v>
      </c>
      <c r="AJ38" s="8">
        <v>0.84250000000000003</v>
      </c>
      <c r="AO38" s="8">
        <v>29</v>
      </c>
      <c r="AP38" s="2"/>
    </row>
    <row r="39" spans="3:42">
      <c r="C39" s="17"/>
      <c r="D39" s="18"/>
      <c r="E39" s="19"/>
      <c r="F39" s="6"/>
      <c r="G39" s="48"/>
      <c r="H39" s="48"/>
      <c r="I39" s="48"/>
      <c r="J39" s="48"/>
      <c r="T39" s="4">
        <v>1981</v>
      </c>
      <c r="U39" s="4">
        <v>2.2149999999999999</v>
      </c>
      <c r="V39" s="7">
        <f t="shared" si="1"/>
        <v>3000</v>
      </c>
      <c r="W39" s="7">
        <f t="shared" si="2"/>
        <v>0</v>
      </c>
      <c r="X39" s="7">
        <v>2000</v>
      </c>
      <c r="Y39">
        <f t="shared" si="3"/>
        <v>9144</v>
      </c>
      <c r="Z39">
        <f t="shared" si="4"/>
        <v>0</v>
      </c>
      <c r="AA39">
        <f t="shared" si="5"/>
        <v>9144</v>
      </c>
      <c r="AB39">
        <f t="shared" si="6"/>
        <v>11622.023999999999</v>
      </c>
      <c r="AC39">
        <f t="shared" si="7"/>
        <v>0</v>
      </c>
      <c r="AD39">
        <f t="shared" si="8"/>
        <v>11622.023999999999</v>
      </c>
      <c r="AH39" s="2"/>
      <c r="AI39" s="4">
        <v>158</v>
      </c>
      <c r="AJ39" s="8">
        <v>0.85499999999999998</v>
      </c>
      <c r="AK39" s="2"/>
      <c r="AL39" s="2"/>
      <c r="AM39" s="2"/>
      <c r="AN39" s="2"/>
      <c r="AO39" s="8">
        <v>30</v>
      </c>
      <c r="AP39" s="2"/>
    </row>
    <row r="40" spans="3:42">
      <c r="C40" s="17"/>
      <c r="D40" s="9"/>
      <c r="E40" s="19"/>
      <c r="G40" s="48"/>
      <c r="H40" s="48"/>
      <c r="I40" s="48"/>
      <c r="J40" s="48"/>
      <c r="T40" s="4">
        <v>1980</v>
      </c>
      <c r="U40" s="4">
        <v>2.5089999999999999</v>
      </c>
      <c r="V40" s="7">
        <f t="shared" si="1"/>
        <v>3000</v>
      </c>
      <c r="W40" s="7">
        <f t="shared" si="2"/>
        <v>0</v>
      </c>
      <c r="X40" s="7">
        <v>2001</v>
      </c>
      <c r="Y40">
        <f t="shared" si="3"/>
        <v>10668</v>
      </c>
      <c r="Z40">
        <f t="shared" si="4"/>
        <v>0</v>
      </c>
      <c r="AA40">
        <f t="shared" si="5"/>
        <v>10668</v>
      </c>
      <c r="AB40">
        <f t="shared" si="6"/>
        <v>13292.328</v>
      </c>
      <c r="AC40">
        <f t="shared" si="7"/>
        <v>0</v>
      </c>
      <c r="AD40">
        <f t="shared" si="8"/>
        <v>13292.328</v>
      </c>
      <c r="AH40" s="2"/>
      <c r="AI40" s="4">
        <v>159</v>
      </c>
      <c r="AJ40" s="8">
        <v>0.86750000000000005</v>
      </c>
      <c r="AK40" s="2"/>
      <c r="AL40" s="2"/>
      <c r="AM40" s="2"/>
      <c r="AN40" s="2"/>
      <c r="AO40" s="8">
        <v>31</v>
      </c>
      <c r="AP40" s="2"/>
    </row>
    <row r="41" spans="3:42">
      <c r="C41" s="17"/>
      <c r="D41" s="18"/>
      <c r="E41" s="19"/>
      <c r="F41" s="6"/>
      <c r="G41" s="48"/>
      <c r="H41" s="48"/>
      <c r="I41" s="48"/>
      <c r="J41" s="48"/>
      <c r="T41" s="4">
        <v>1979</v>
      </c>
      <c r="U41" s="4">
        <v>2.8540000000000001</v>
      </c>
      <c r="V41" s="7">
        <f t="shared" si="1"/>
        <v>3000</v>
      </c>
      <c r="W41" s="7">
        <f t="shared" si="2"/>
        <v>0</v>
      </c>
      <c r="X41" s="7">
        <v>2002</v>
      </c>
      <c r="Y41">
        <f t="shared" si="3"/>
        <v>0</v>
      </c>
      <c r="Z41">
        <f t="shared" si="4"/>
        <v>16000</v>
      </c>
      <c r="AA41">
        <f t="shared" si="5"/>
        <v>16000</v>
      </c>
      <c r="AB41">
        <f t="shared" si="6"/>
        <v>19504</v>
      </c>
      <c r="AC41">
        <f t="shared" si="7"/>
        <v>0</v>
      </c>
      <c r="AD41">
        <f t="shared" si="8"/>
        <v>19504</v>
      </c>
      <c r="AF41" s="4" t="s">
        <v>54</v>
      </c>
      <c r="AG41" s="4" t="s">
        <v>48</v>
      </c>
      <c r="AI41" s="4">
        <v>160</v>
      </c>
      <c r="AJ41" s="8">
        <v>0.88</v>
      </c>
      <c r="AO41" s="2"/>
      <c r="AP41" s="2"/>
    </row>
    <row r="42" spans="3:42">
      <c r="C42" s="17"/>
      <c r="D42" s="9"/>
      <c r="E42" s="19"/>
      <c r="G42" s="48"/>
      <c r="H42" s="48"/>
      <c r="I42" s="48"/>
      <c r="J42" s="48"/>
      <c r="T42" s="4">
        <v>1978</v>
      </c>
      <c r="U42" s="4">
        <v>3.129</v>
      </c>
      <c r="V42" s="7">
        <f t="shared" si="1"/>
        <v>3000</v>
      </c>
      <c r="W42" s="7">
        <f t="shared" si="2"/>
        <v>0</v>
      </c>
      <c r="X42" s="7">
        <v>2003</v>
      </c>
      <c r="Y42">
        <f t="shared" si="3"/>
        <v>0</v>
      </c>
      <c r="Z42">
        <f t="shared" si="4"/>
        <v>20000</v>
      </c>
      <c r="AA42">
        <f t="shared" si="5"/>
        <v>20000</v>
      </c>
      <c r="AB42">
        <f t="shared" si="6"/>
        <v>23980</v>
      </c>
      <c r="AC42">
        <f t="shared" si="7"/>
        <v>0</v>
      </c>
      <c r="AD42">
        <f t="shared" si="8"/>
        <v>23980</v>
      </c>
      <c r="AF42" s="4">
        <v>62</v>
      </c>
      <c r="AG42" s="4">
        <v>0.78</v>
      </c>
      <c r="AI42" s="4">
        <v>161</v>
      </c>
      <c r="AJ42" s="8">
        <v>0.89</v>
      </c>
      <c r="AO42" s="2"/>
      <c r="AP42" s="2"/>
    </row>
    <row r="43" spans="3:42">
      <c r="C43" s="17"/>
      <c r="D43" s="18"/>
      <c r="E43" s="19"/>
      <c r="F43" s="6"/>
      <c r="G43" s="48"/>
      <c r="H43" s="48"/>
      <c r="I43" s="48"/>
      <c r="J43" s="48"/>
      <c r="T43" s="4">
        <v>1977</v>
      </c>
      <c r="U43" s="4">
        <v>3.4790000000000001</v>
      </c>
      <c r="V43" s="7">
        <f t="shared" si="1"/>
        <v>3000</v>
      </c>
      <c r="W43" s="7">
        <f t="shared" si="2"/>
        <v>0</v>
      </c>
      <c r="X43" s="7">
        <v>2004</v>
      </c>
      <c r="Y43">
        <f t="shared" si="3"/>
        <v>0</v>
      </c>
      <c r="Z43">
        <f t="shared" si="4"/>
        <v>20000</v>
      </c>
      <c r="AA43">
        <f t="shared" si="5"/>
        <v>20000</v>
      </c>
      <c r="AB43">
        <f t="shared" si="6"/>
        <v>23600</v>
      </c>
      <c r="AC43">
        <f t="shared" si="7"/>
        <v>0</v>
      </c>
      <c r="AD43">
        <f t="shared" si="8"/>
        <v>23600</v>
      </c>
      <c r="AF43" s="4">
        <v>63</v>
      </c>
      <c r="AG43" s="4">
        <v>0.83</v>
      </c>
      <c r="AI43" s="4">
        <v>162</v>
      </c>
      <c r="AJ43" s="8">
        <v>0.9</v>
      </c>
      <c r="AO43" s="2"/>
      <c r="AP43" s="2"/>
    </row>
    <row r="44" spans="3:42">
      <c r="C44" s="17"/>
      <c r="D44" s="9"/>
      <c r="E44" s="19"/>
      <c r="G44" s="48"/>
      <c r="H44" s="48"/>
      <c r="I44" s="48"/>
      <c r="J44" s="48"/>
      <c r="T44" s="4">
        <v>1976</v>
      </c>
      <c r="U44" s="4">
        <v>4.0330000000000004</v>
      </c>
      <c r="V44" s="7">
        <f t="shared" si="1"/>
        <v>3000</v>
      </c>
      <c r="W44" s="7">
        <f t="shared" si="2"/>
        <v>0</v>
      </c>
      <c r="X44" s="7">
        <v>2005</v>
      </c>
      <c r="Y44">
        <f t="shared" si="3"/>
        <v>0</v>
      </c>
      <c r="Z44">
        <f t="shared" si="4"/>
        <v>22000</v>
      </c>
      <c r="AA44">
        <f t="shared" si="5"/>
        <v>22000</v>
      </c>
      <c r="AB44">
        <f t="shared" si="6"/>
        <v>25520</v>
      </c>
      <c r="AC44">
        <f t="shared" si="7"/>
        <v>0</v>
      </c>
      <c r="AD44">
        <f t="shared" si="8"/>
        <v>25520</v>
      </c>
      <c r="AF44" s="4">
        <v>64</v>
      </c>
      <c r="AG44" s="4">
        <v>0.88</v>
      </c>
      <c r="AI44" s="4">
        <v>163</v>
      </c>
      <c r="AJ44" s="8">
        <v>0.91</v>
      </c>
      <c r="AO44" s="2"/>
      <c r="AP44" s="2"/>
    </row>
    <row r="45" spans="3:42">
      <c r="C45" s="17"/>
      <c r="D45" s="18"/>
      <c r="E45" s="19"/>
      <c r="F45" s="6"/>
      <c r="G45" s="48"/>
      <c r="H45" s="48"/>
      <c r="I45" s="48"/>
      <c r="J45" s="48"/>
      <c r="T45" s="4">
        <v>1975</v>
      </c>
      <c r="U45" s="4">
        <v>4.7460000000000004</v>
      </c>
      <c r="V45" s="7">
        <f t="shared" si="1"/>
        <v>3000</v>
      </c>
      <c r="W45" s="7">
        <f t="shared" si="2"/>
        <v>0</v>
      </c>
      <c r="X45" s="7">
        <v>2006</v>
      </c>
      <c r="Y45">
        <f t="shared" si="3"/>
        <v>0</v>
      </c>
      <c r="Z45">
        <f t="shared" si="4"/>
        <v>24000</v>
      </c>
      <c r="AA45">
        <f t="shared" si="5"/>
        <v>24000</v>
      </c>
      <c r="AB45">
        <f t="shared" si="6"/>
        <v>27336</v>
      </c>
      <c r="AC45">
        <f t="shared" si="7"/>
        <v>0</v>
      </c>
      <c r="AD45">
        <f t="shared" si="8"/>
        <v>27336</v>
      </c>
      <c r="AF45" s="4">
        <v>65</v>
      </c>
      <c r="AG45" s="4">
        <v>0.92</v>
      </c>
      <c r="AI45" s="4">
        <v>164</v>
      </c>
      <c r="AJ45" s="8">
        <v>0.92</v>
      </c>
      <c r="AO45" s="2"/>
      <c r="AP45" s="2"/>
    </row>
    <row r="46" spans="3:42">
      <c r="C46" s="17"/>
      <c r="D46" s="9"/>
      <c r="E46" s="19"/>
      <c r="G46" s="48"/>
      <c r="H46" s="48"/>
      <c r="I46" s="48"/>
      <c r="J46" s="48"/>
      <c r="T46" s="4">
        <v>1974</v>
      </c>
      <c r="U46" s="4">
        <v>5.6379999999999999</v>
      </c>
      <c r="V46" s="7">
        <f t="shared" si="1"/>
        <v>3000</v>
      </c>
      <c r="W46" s="7">
        <f t="shared" si="2"/>
        <v>0</v>
      </c>
      <c r="X46" s="7">
        <v>2007</v>
      </c>
      <c r="Y46">
        <f t="shared" si="3"/>
        <v>0</v>
      </c>
      <c r="Z46">
        <f t="shared" si="4"/>
        <v>24000</v>
      </c>
      <c r="AA46">
        <f t="shared" si="5"/>
        <v>24000</v>
      </c>
      <c r="AB46">
        <f t="shared" si="6"/>
        <v>26880.000000000004</v>
      </c>
      <c r="AC46">
        <f t="shared" si="7"/>
        <v>0</v>
      </c>
      <c r="AD46">
        <f t="shared" si="8"/>
        <v>26880.000000000004</v>
      </c>
      <c r="AF46" s="4">
        <v>66</v>
      </c>
      <c r="AG46" s="4">
        <v>0.96</v>
      </c>
      <c r="AI46" s="4">
        <v>165</v>
      </c>
      <c r="AJ46" s="8">
        <v>0.93</v>
      </c>
      <c r="AO46" s="2"/>
      <c r="AP46" s="2"/>
    </row>
    <row r="47" spans="3:42">
      <c r="C47" s="17"/>
      <c r="D47" s="18"/>
      <c r="E47" s="19"/>
      <c r="F47" s="6"/>
      <c r="G47" s="48"/>
      <c r="H47" s="48"/>
      <c r="I47" s="48"/>
      <c r="J47" s="48"/>
      <c r="T47" s="4">
        <v>1973</v>
      </c>
      <c r="U47" s="4">
        <v>6.3949999999999996</v>
      </c>
      <c r="V47" s="7">
        <f t="shared" si="1"/>
        <v>3000</v>
      </c>
      <c r="W47" s="7">
        <f t="shared" si="2"/>
        <v>0</v>
      </c>
      <c r="X47" s="7">
        <v>2008</v>
      </c>
      <c r="Y47">
        <f t="shared" si="3"/>
        <v>0</v>
      </c>
      <c r="Z47">
        <f t="shared" si="4"/>
        <v>24000</v>
      </c>
      <c r="AA47">
        <f t="shared" si="5"/>
        <v>24000</v>
      </c>
      <c r="AB47">
        <f t="shared" si="6"/>
        <v>26592.000000000004</v>
      </c>
      <c r="AC47">
        <f t="shared" si="7"/>
        <v>0</v>
      </c>
      <c r="AD47">
        <f t="shared" si="8"/>
        <v>26592.000000000004</v>
      </c>
      <c r="AF47" s="4">
        <v>67</v>
      </c>
      <c r="AG47" s="4">
        <v>1</v>
      </c>
      <c r="AI47" s="4">
        <v>166</v>
      </c>
      <c r="AJ47" s="8">
        <v>0.94</v>
      </c>
      <c r="AO47" s="2"/>
      <c r="AP47" s="2"/>
    </row>
    <row r="48" spans="3:42">
      <c r="C48" s="17"/>
      <c r="D48" s="9"/>
      <c r="E48" s="19"/>
      <c r="G48" s="48"/>
      <c r="H48" s="48"/>
      <c r="I48" s="48"/>
      <c r="J48" s="48"/>
      <c r="T48" s="4">
        <v>1972</v>
      </c>
      <c r="U48" s="4">
        <v>6.92</v>
      </c>
      <c r="V48" s="7"/>
      <c r="W48" s="7"/>
      <c r="X48" s="7">
        <v>2009</v>
      </c>
      <c r="Y48">
        <f t="shared" si="3"/>
        <v>0</v>
      </c>
      <c r="Z48">
        <f t="shared" si="4"/>
        <v>23000</v>
      </c>
      <c r="AA48">
        <f t="shared" si="5"/>
        <v>23000</v>
      </c>
      <c r="AB48">
        <f t="shared" si="6"/>
        <v>25277</v>
      </c>
      <c r="AC48">
        <f t="shared" si="7"/>
        <v>0</v>
      </c>
      <c r="AD48">
        <f t="shared" si="8"/>
        <v>25277</v>
      </c>
      <c r="AF48" s="4">
        <v>68</v>
      </c>
      <c r="AG48" s="4">
        <v>1</v>
      </c>
      <c r="AI48" s="4">
        <v>167</v>
      </c>
      <c r="AJ48" s="8">
        <v>0.95</v>
      </c>
      <c r="AO48" s="2"/>
      <c r="AP48" s="2"/>
    </row>
    <row r="49" spans="1:42">
      <c r="C49" s="17"/>
      <c r="D49" s="18"/>
      <c r="E49" s="19"/>
      <c r="F49" s="6"/>
      <c r="G49" s="48"/>
      <c r="H49" s="48"/>
      <c r="I49" s="48"/>
      <c r="J49" s="48"/>
      <c r="T49" s="4">
        <v>1971</v>
      </c>
      <c r="U49" s="4">
        <v>7.68</v>
      </c>
      <c r="V49" s="7"/>
      <c r="W49" s="7"/>
      <c r="X49" s="7">
        <v>2010</v>
      </c>
      <c r="Y49">
        <f t="shared" si="3"/>
        <v>0</v>
      </c>
      <c r="Z49">
        <f t="shared" si="4"/>
        <v>24000</v>
      </c>
      <c r="AA49">
        <f t="shared" si="5"/>
        <v>24000</v>
      </c>
      <c r="AB49">
        <f t="shared" si="6"/>
        <v>26136</v>
      </c>
      <c r="AC49">
        <f t="shared" si="7"/>
        <v>0</v>
      </c>
      <c r="AD49">
        <f t="shared" si="8"/>
        <v>26136</v>
      </c>
      <c r="AF49" s="4">
        <v>69</v>
      </c>
      <c r="AG49" s="4">
        <v>1</v>
      </c>
      <c r="AI49" s="4">
        <v>168</v>
      </c>
      <c r="AJ49" s="8">
        <v>0.96</v>
      </c>
      <c r="AO49" s="2"/>
      <c r="AP49" s="2"/>
    </row>
    <row r="50" spans="1:42">
      <c r="C50" s="17"/>
      <c r="D50" s="9"/>
      <c r="E50" s="19"/>
      <c r="G50" s="48"/>
      <c r="H50" s="48"/>
      <c r="I50" s="48"/>
      <c r="J50" s="48"/>
      <c r="T50" s="4">
        <v>1970</v>
      </c>
      <c r="U50" s="4">
        <v>8.5609999999999999</v>
      </c>
      <c r="V50" s="7"/>
      <c r="W50" s="7"/>
      <c r="X50" s="7">
        <v>2011</v>
      </c>
      <c r="Y50">
        <f t="shared" si="3"/>
        <v>0</v>
      </c>
      <c r="Z50">
        <f t="shared" si="4"/>
        <v>24000</v>
      </c>
      <c r="AA50">
        <f t="shared" si="5"/>
        <v>24000</v>
      </c>
      <c r="AB50">
        <f t="shared" si="6"/>
        <v>25896</v>
      </c>
      <c r="AC50">
        <f t="shared" si="7"/>
        <v>0</v>
      </c>
      <c r="AD50">
        <f t="shared" si="8"/>
        <v>25896</v>
      </c>
      <c r="AF50" s="2" t="s">
        <v>55</v>
      </c>
      <c r="AG50" s="2">
        <f>VLOOKUP(F62,AF42:AG49,2)</f>
        <v>0.88</v>
      </c>
      <c r="AI50" s="4">
        <v>169</v>
      </c>
      <c r="AJ50" s="8">
        <v>0.97</v>
      </c>
      <c r="AO50" s="2"/>
      <c r="AP50" s="2"/>
    </row>
    <row r="51" spans="1:42">
      <c r="C51" s="17"/>
      <c r="D51" s="18"/>
      <c r="E51" s="19"/>
      <c r="F51" s="6"/>
      <c r="G51" s="48"/>
      <c r="H51" s="48"/>
      <c r="I51" s="48"/>
      <c r="J51" s="48"/>
      <c r="T51" s="4">
        <v>1969</v>
      </c>
      <c r="U51" s="4">
        <v>9.4239999999999995</v>
      </c>
      <c r="V51" s="7"/>
      <c r="W51" s="7"/>
      <c r="X51" s="7">
        <v>2012</v>
      </c>
      <c r="Y51">
        <f t="shared" si="3"/>
        <v>0</v>
      </c>
      <c r="Z51">
        <f t="shared" si="4"/>
        <v>24000</v>
      </c>
      <c r="AA51">
        <f t="shared" si="5"/>
        <v>24000</v>
      </c>
      <c r="AB51">
        <f t="shared" si="6"/>
        <v>25392</v>
      </c>
      <c r="AC51">
        <f t="shared" si="7"/>
        <v>0</v>
      </c>
      <c r="AD51">
        <f t="shared" si="8"/>
        <v>25392</v>
      </c>
      <c r="AI51" s="4">
        <v>170</v>
      </c>
      <c r="AJ51" s="8">
        <v>0.98</v>
      </c>
      <c r="AO51" s="2"/>
      <c r="AP51" s="2"/>
    </row>
    <row r="52" spans="1:42">
      <c r="C52" s="17"/>
      <c r="D52" s="9"/>
      <c r="E52" s="19"/>
      <c r="G52" s="48"/>
      <c r="H52" s="48"/>
      <c r="I52" s="48"/>
      <c r="J52" s="48"/>
      <c r="T52" s="4">
        <v>1968</v>
      </c>
      <c r="U52" s="4">
        <v>10.872</v>
      </c>
      <c r="V52" s="7"/>
      <c r="W52" s="7"/>
      <c r="X52" s="7">
        <v>2013</v>
      </c>
      <c r="Y52">
        <f t="shared" si="3"/>
        <v>0</v>
      </c>
      <c r="Z52">
        <f t="shared" si="4"/>
        <v>19000</v>
      </c>
      <c r="AA52">
        <f t="shared" si="5"/>
        <v>19000</v>
      </c>
      <c r="AB52">
        <f t="shared" si="6"/>
        <v>19703</v>
      </c>
      <c r="AC52">
        <f t="shared" si="7"/>
        <v>0</v>
      </c>
      <c r="AD52">
        <f t="shared" si="8"/>
        <v>19703</v>
      </c>
      <c r="AI52" s="4">
        <v>171</v>
      </c>
      <c r="AJ52" s="8">
        <v>0.99</v>
      </c>
      <c r="AO52" s="2"/>
      <c r="AP52" s="2"/>
    </row>
    <row r="53" spans="1:42">
      <c r="C53" s="17"/>
      <c r="D53" s="9"/>
      <c r="E53" s="19"/>
      <c r="G53" s="48"/>
      <c r="H53" s="48"/>
      <c r="I53" s="48"/>
      <c r="J53" s="48"/>
      <c r="T53" s="4">
        <v>1967</v>
      </c>
      <c r="U53" s="4">
        <v>11.795</v>
      </c>
      <c r="V53" s="7"/>
      <c r="W53" s="7"/>
      <c r="X53" s="7">
        <v>2014</v>
      </c>
      <c r="Y53">
        <f t="shared" si="3"/>
        <v>0</v>
      </c>
      <c r="Z53">
        <f t="shared" si="4"/>
        <v>38000</v>
      </c>
      <c r="AA53">
        <f t="shared" si="5"/>
        <v>38000</v>
      </c>
      <c r="AB53">
        <f t="shared" si="6"/>
        <v>38912</v>
      </c>
      <c r="AC53">
        <f t="shared" si="7"/>
        <v>0</v>
      </c>
      <c r="AD53">
        <f t="shared" si="8"/>
        <v>38912</v>
      </c>
      <c r="AE53" s="2" t="s">
        <v>56</v>
      </c>
      <c r="AF53" s="25">
        <f>0.2531*AD80</f>
        <v>309456.71347379999</v>
      </c>
      <c r="AI53" s="4">
        <v>172</v>
      </c>
      <c r="AJ53" s="8">
        <v>1</v>
      </c>
      <c r="AO53" s="2"/>
      <c r="AP53" s="2"/>
    </row>
    <row r="54" spans="1:42">
      <c r="C54" s="17"/>
      <c r="D54" s="9"/>
      <c r="E54" s="19"/>
      <c r="G54" s="48"/>
      <c r="H54" s="48"/>
      <c r="I54" s="48"/>
      <c r="J54" s="48"/>
      <c r="T54" s="4">
        <v>1966</v>
      </c>
      <c r="U54" s="4">
        <v>12.458</v>
      </c>
      <c r="V54" s="7"/>
      <c r="W54" s="7"/>
      <c r="X54" s="7">
        <v>2015</v>
      </c>
      <c r="Y54">
        <f t="shared" si="3"/>
        <v>0</v>
      </c>
      <c r="Z54">
        <f t="shared" si="4"/>
        <v>33000</v>
      </c>
      <c r="AA54">
        <f t="shared" si="5"/>
        <v>33000</v>
      </c>
      <c r="AB54">
        <f t="shared" si="6"/>
        <v>33792</v>
      </c>
      <c r="AC54">
        <f t="shared" si="7"/>
        <v>0</v>
      </c>
      <c r="AD54">
        <f t="shared" si="8"/>
        <v>33792</v>
      </c>
      <c r="AE54" t="s">
        <v>57</v>
      </c>
      <c r="AF54">
        <f>1+0.05*(B68-64)</f>
        <v>1</v>
      </c>
      <c r="AG54"/>
      <c r="AJ54" s="2">
        <f>IF(AF21&lt;152,0.78,VLOOKUP(AF21,AI33:AJ53,2))</f>
        <v>0.78</v>
      </c>
    </row>
    <row r="55" spans="1:42">
      <c r="C55" s="17"/>
      <c r="D55" s="9"/>
      <c r="E55" s="19"/>
      <c r="G55" s="48"/>
      <c r="H55" s="48"/>
      <c r="I55" s="48"/>
      <c r="J55" s="48"/>
      <c r="T55" s="4">
        <v>1965</v>
      </c>
      <c r="U55" s="4">
        <v>13.183</v>
      </c>
      <c r="V55" s="7"/>
      <c r="W55" s="7"/>
      <c r="X55" s="7">
        <v>2016</v>
      </c>
      <c r="Y55">
        <f t="shared" si="3"/>
        <v>0</v>
      </c>
      <c r="Z55">
        <f t="shared" si="4"/>
        <v>36000</v>
      </c>
      <c r="AA55">
        <f t="shared" si="5"/>
        <v>36000</v>
      </c>
      <c r="AB55">
        <f t="shared" si="6"/>
        <v>36828</v>
      </c>
      <c r="AC55">
        <f t="shared" si="7"/>
        <v>0</v>
      </c>
      <c r="AD55">
        <f t="shared" si="8"/>
        <v>36828</v>
      </c>
      <c r="AE55" s="8" t="s">
        <v>58</v>
      </c>
      <c r="AF55" s="8"/>
      <c r="AG55" s="23">
        <f>AF53*0.055*AF54/12</f>
        <v>1418.3432700882502</v>
      </c>
    </row>
    <row r="56" spans="1:42">
      <c r="C56" s="17"/>
      <c r="D56" s="9"/>
      <c r="E56" s="19"/>
      <c r="G56" s="48"/>
      <c r="H56" s="48"/>
      <c r="I56" s="48"/>
      <c r="J56" s="48"/>
      <c r="T56" s="4">
        <v>1964</v>
      </c>
      <c r="U56" s="4">
        <v>14.093999999999999</v>
      </c>
      <c r="V56" s="7"/>
      <c r="W56" s="7"/>
      <c r="X56" s="7">
        <v>2017</v>
      </c>
      <c r="Y56">
        <f t="shared" si="3"/>
        <v>0</v>
      </c>
      <c r="Z56">
        <f t="shared" si="4"/>
        <v>36000</v>
      </c>
      <c r="AA56">
        <f t="shared" si="5"/>
        <v>36000</v>
      </c>
      <c r="AB56">
        <f t="shared" si="6"/>
        <v>36828</v>
      </c>
      <c r="AC56">
        <f t="shared" si="7"/>
        <v>0</v>
      </c>
      <c r="AD56">
        <f t="shared" si="8"/>
        <v>36828</v>
      </c>
      <c r="AE56"/>
      <c r="AF56"/>
      <c r="AG56"/>
    </row>
    <row r="57" spans="1:42">
      <c r="C57" s="17"/>
      <c r="D57" s="9"/>
      <c r="E57" s="19"/>
      <c r="G57" s="48"/>
      <c r="H57" s="48"/>
      <c r="I57" s="48"/>
      <c r="J57" s="48"/>
      <c r="T57" s="4">
        <v>1963</v>
      </c>
      <c r="U57" s="4">
        <v>15.646000000000001</v>
      </c>
      <c r="V57" s="7"/>
      <c r="W57" s="7"/>
      <c r="X57" s="7">
        <v>2018</v>
      </c>
      <c r="Y57">
        <f t="shared" si="3"/>
        <v>0</v>
      </c>
      <c r="Z57">
        <f t="shared" si="4"/>
        <v>36000</v>
      </c>
      <c r="AA57">
        <f t="shared" si="5"/>
        <v>36000</v>
      </c>
      <c r="AB57">
        <f t="shared" si="6"/>
        <v>36540</v>
      </c>
      <c r="AC57">
        <f t="shared" si="7"/>
        <v>0</v>
      </c>
      <c r="AD57">
        <f t="shared" si="8"/>
        <v>36540</v>
      </c>
      <c r="AF57" s="30">
        <v>1</v>
      </c>
      <c r="AG57" s="4" t="s">
        <v>59</v>
      </c>
      <c r="AI57" t="s">
        <v>60</v>
      </c>
      <c r="AJ57"/>
      <c r="AK57"/>
    </row>
    <row r="58" spans="1:42">
      <c r="C58" s="17"/>
      <c r="D58" s="9"/>
      <c r="E58" s="19"/>
      <c r="G58" s="48"/>
      <c r="H58" s="48"/>
      <c r="I58" s="48"/>
      <c r="J58" s="48"/>
      <c r="V58" s="7"/>
      <c r="W58" s="7"/>
      <c r="X58" s="7">
        <v>2019</v>
      </c>
      <c r="Y58">
        <f t="shared" si="3"/>
        <v>0</v>
      </c>
      <c r="Z58">
        <f t="shared" si="4"/>
        <v>0</v>
      </c>
      <c r="AA58">
        <f t="shared" si="5"/>
        <v>0</v>
      </c>
      <c r="AB58">
        <f t="shared" si="6"/>
        <v>0</v>
      </c>
      <c r="AC58">
        <f t="shared" si="7"/>
        <v>39600</v>
      </c>
      <c r="AD58">
        <f t="shared" si="8"/>
        <v>39600</v>
      </c>
      <c r="AF58" s="30">
        <v>2</v>
      </c>
      <c r="AG58" s="4" t="s">
        <v>61</v>
      </c>
      <c r="AI58" t="s">
        <v>62</v>
      </c>
      <c r="AJ58"/>
      <c r="AK58">
        <v>1.2587999999999999</v>
      </c>
    </row>
    <row r="59" spans="1:42">
      <c r="C59" s="17"/>
      <c r="D59" s="9"/>
      <c r="E59" s="19"/>
      <c r="G59" s="48"/>
      <c r="H59" s="48"/>
      <c r="I59" s="48"/>
      <c r="J59" s="48"/>
      <c r="V59" s="7"/>
      <c r="W59" s="7"/>
      <c r="X59" s="7">
        <v>2020</v>
      </c>
      <c r="Y59">
        <f t="shared" si="3"/>
        <v>0</v>
      </c>
      <c r="Z59">
        <f t="shared" si="4"/>
        <v>0</v>
      </c>
      <c r="AA59">
        <f t="shared" si="5"/>
        <v>0</v>
      </c>
      <c r="AB59">
        <f t="shared" si="6"/>
        <v>0</v>
      </c>
      <c r="AC59">
        <f t="shared" si="7"/>
        <v>39600</v>
      </c>
      <c r="AD59">
        <f t="shared" si="8"/>
        <v>39600</v>
      </c>
      <c r="AF59" s="30">
        <v>3</v>
      </c>
      <c r="AG59" s="4" t="s">
        <v>63</v>
      </c>
      <c r="AI59" t="s">
        <v>64</v>
      </c>
      <c r="AJ59"/>
      <c r="AK59">
        <v>0.9</v>
      </c>
    </row>
    <row r="60" spans="1:42">
      <c r="C60" s="17"/>
      <c r="D60" s="9"/>
      <c r="E60" s="19"/>
      <c r="G60" s="48"/>
      <c r="H60" s="48"/>
      <c r="I60" s="48"/>
      <c r="J60" s="48"/>
      <c r="V60" s="7"/>
      <c r="W60" s="7"/>
      <c r="X60" s="7">
        <v>2021</v>
      </c>
      <c r="Y60">
        <f t="shared" si="3"/>
        <v>0</v>
      </c>
      <c r="Z60">
        <f t="shared" si="4"/>
        <v>0</v>
      </c>
      <c r="AA60">
        <f t="shared" si="5"/>
        <v>0</v>
      </c>
      <c r="AB60">
        <f t="shared" si="6"/>
        <v>0</v>
      </c>
      <c r="AC60">
        <f t="shared" si="7"/>
        <v>39600</v>
      </c>
      <c r="AD60">
        <f t="shared" si="8"/>
        <v>39600</v>
      </c>
      <c r="AF60" s="30">
        <v>4</v>
      </c>
      <c r="AG60" s="4" t="s">
        <v>65</v>
      </c>
      <c r="AI60" t="s">
        <v>66</v>
      </c>
      <c r="AJ60" s="2"/>
      <c r="AK60" s="31">
        <f>J6</f>
        <v>32.54</v>
      </c>
    </row>
    <row r="61" spans="1:42">
      <c r="V61" s="7"/>
      <c r="W61" s="7"/>
      <c r="X61" s="7">
        <v>2022</v>
      </c>
      <c r="Y61">
        <f t="shared" si="3"/>
        <v>0</v>
      </c>
      <c r="Z61">
        <f t="shared" si="4"/>
        <v>0</v>
      </c>
      <c r="AA61">
        <f t="shared" si="5"/>
        <v>0</v>
      </c>
      <c r="AB61">
        <f t="shared" si="6"/>
        <v>0</v>
      </c>
      <c r="AC61">
        <f t="shared" si="7"/>
        <v>39600</v>
      </c>
      <c r="AD61">
        <f t="shared" si="8"/>
        <v>39600</v>
      </c>
      <c r="AF61" s="30">
        <v>5</v>
      </c>
      <c r="AG61" s="4" t="s">
        <v>67</v>
      </c>
      <c r="AI61" t="s">
        <v>68</v>
      </c>
      <c r="AJ61" s="2"/>
      <c r="AK61" s="25">
        <f>AK60*AK58*AK59/12</f>
        <v>3.0721013999999998</v>
      </c>
    </row>
    <row r="62" spans="1:42" ht="15.75">
      <c r="A62" s="6" t="s">
        <v>69</v>
      </c>
      <c r="B62"/>
      <c r="C62" s="1" t="s">
        <v>70</v>
      </c>
      <c r="F62" s="32">
        <v>64</v>
      </c>
      <c r="G62" s="1" t="s">
        <v>71</v>
      </c>
      <c r="V62" s="7"/>
      <c r="W62" s="7"/>
      <c r="X62" s="7">
        <v>2023</v>
      </c>
      <c r="Y62">
        <f t="shared" si="3"/>
        <v>0</v>
      </c>
      <c r="Z62">
        <f t="shared" si="4"/>
        <v>0</v>
      </c>
      <c r="AA62">
        <f t="shared" si="5"/>
        <v>0</v>
      </c>
      <c r="AB62">
        <f t="shared" si="6"/>
        <v>0</v>
      </c>
      <c r="AC62">
        <f t="shared" si="7"/>
        <v>39600</v>
      </c>
      <c r="AD62">
        <f t="shared" si="8"/>
        <v>39600</v>
      </c>
      <c r="AF62" s="30">
        <v>6</v>
      </c>
      <c r="AG62" s="4" t="s">
        <v>72</v>
      </c>
    </row>
    <row r="63" spans="1:42" ht="15.75">
      <c r="B63"/>
      <c r="C63" s="1" t="s">
        <v>73</v>
      </c>
      <c r="D63"/>
      <c r="E63" s="33"/>
      <c r="F63" s="49">
        <v>3500</v>
      </c>
      <c r="G63" s="49"/>
      <c r="H63" s="49"/>
      <c r="I63" s="1" t="s">
        <v>74</v>
      </c>
      <c r="V63" s="7"/>
      <c r="W63" s="7"/>
      <c r="X63" s="7">
        <v>2024</v>
      </c>
      <c r="Y63">
        <f t="shared" si="3"/>
        <v>0</v>
      </c>
      <c r="Z63">
        <f t="shared" si="4"/>
        <v>0</v>
      </c>
      <c r="AA63">
        <f t="shared" si="5"/>
        <v>0</v>
      </c>
      <c r="AB63">
        <f t="shared" si="6"/>
        <v>0</v>
      </c>
      <c r="AC63">
        <f t="shared" si="7"/>
        <v>39600</v>
      </c>
      <c r="AD63">
        <f t="shared" si="8"/>
        <v>39600</v>
      </c>
      <c r="AF63" s="30">
        <v>7</v>
      </c>
      <c r="AG63" s="4" t="s">
        <v>75</v>
      </c>
    </row>
    <row r="64" spans="1:42" ht="15.75">
      <c r="B64"/>
      <c r="C64" s="1" t="s">
        <v>76</v>
      </c>
      <c r="E64"/>
      <c r="F64" s="49">
        <v>3100</v>
      </c>
      <c r="G64" s="49"/>
      <c r="H64" s="49"/>
      <c r="I64" s="1" t="s">
        <v>77</v>
      </c>
      <c r="V64" s="7"/>
      <c r="W64" s="7"/>
      <c r="X64" s="7">
        <v>2025</v>
      </c>
      <c r="Y64">
        <f t="shared" si="3"/>
        <v>0</v>
      </c>
      <c r="Z64">
        <f t="shared" si="4"/>
        <v>0</v>
      </c>
      <c r="AA64">
        <f t="shared" si="5"/>
        <v>0</v>
      </c>
      <c r="AB64">
        <f t="shared" si="6"/>
        <v>0</v>
      </c>
      <c r="AC64">
        <f t="shared" si="7"/>
        <v>39600</v>
      </c>
      <c r="AD64">
        <f t="shared" si="8"/>
        <v>39600</v>
      </c>
      <c r="AF64" s="30">
        <v>8</v>
      </c>
      <c r="AG64" s="4" t="s">
        <v>78</v>
      </c>
    </row>
    <row r="65" spans="1:34">
      <c r="V65" s="7"/>
      <c r="W65" s="7"/>
      <c r="X65" s="7">
        <v>2026</v>
      </c>
      <c r="Y65">
        <f t="shared" si="3"/>
        <v>0</v>
      </c>
      <c r="Z65">
        <f t="shared" si="4"/>
        <v>0</v>
      </c>
      <c r="AA65">
        <f t="shared" si="5"/>
        <v>0</v>
      </c>
      <c r="AB65">
        <f t="shared" si="6"/>
        <v>0</v>
      </c>
      <c r="AC65">
        <f t="shared" si="7"/>
        <v>39600</v>
      </c>
      <c r="AD65">
        <f t="shared" si="8"/>
        <v>39600</v>
      </c>
      <c r="AF65" s="30">
        <v>9</v>
      </c>
      <c r="AG65" s="4" t="s">
        <v>79</v>
      </c>
    </row>
    <row r="66" spans="1:34" ht="15.75">
      <c r="A66" s="10" t="s">
        <v>80</v>
      </c>
      <c r="B66" s="10"/>
      <c r="C66" s="10"/>
      <c r="D66" s="10"/>
      <c r="E66" s="34"/>
      <c r="F66" s="34"/>
      <c r="G66" s="34"/>
      <c r="H66" s="34"/>
      <c r="I66" s="35"/>
      <c r="J66" s="35"/>
      <c r="K66" s="35"/>
      <c r="L66" s="35"/>
      <c r="M66" s="35"/>
      <c r="N66" s="35"/>
      <c r="V66" s="7"/>
      <c r="W66" s="7"/>
      <c r="X66" s="7">
        <v>2027</v>
      </c>
      <c r="Y66">
        <f t="shared" si="3"/>
        <v>0</v>
      </c>
      <c r="Z66">
        <f t="shared" si="4"/>
        <v>0</v>
      </c>
      <c r="AA66">
        <f t="shared" si="5"/>
        <v>0</v>
      </c>
      <c r="AB66">
        <f t="shared" si="6"/>
        <v>0</v>
      </c>
      <c r="AC66">
        <f t="shared" si="7"/>
        <v>39600</v>
      </c>
      <c r="AD66">
        <f t="shared" si="8"/>
        <v>39600</v>
      </c>
      <c r="AF66" s="30">
        <v>10</v>
      </c>
      <c r="AG66" s="4" t="s">
        <v>81</v>
      </c>
    </row>
    <row r="67" spans="1:34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V67" s="7"/>
      <c r="W67" s="7"/>
      <c r="X67" s="7">
        <v>2028</v>
      </c>
      <c r="Y67">
        <f t="shared" si="3"/>
        <v>0</v>
      </c>
      <c r="Z67">
        <f t="shared" si="4"/>
        <v>0</v>
      </c>
      <c r="AA67">
        <f t="shared" si="5"/>
        <v>0</v>
      </c>
      <c r="AB67">
        <f t="shared" si="6"/>
        <v>0</v>
      </c>
      <c r="AC67">
        <f t="shared" si="7"/>
        <v>39600</v>
      </c>
      <c r="AD67">
        <f t="shared" si="8"/>
        <v>39600</v>
      </c>
      <c r="AF67" s="30">
        <v>11</v>
      </c>
      <c r="AG67" s="4" t="s">
        <v>82</v>
      </c>
    </row>
    <row r="68" spans="1:34" ht="15.75">
      <c r="A68" s="36" t="s">
        <v>83</v>
      </c>
      <c r="B68" s="37">
        <f>F62</f>
        <v>64</v>
      </c>
      <c r="C68" s="6" t="s">
        <v>84</v>
      </c>
      <c r="D68" s="6" t="s">
        <v>85</v>
      </c>
      <c r="E68" s="6"/>
      <c r="F68" s="6"/>
      <c r="G68" s="6"/>
      <c r="H68" s="6"/>
      <c r="I68" s="6"/>
      <c r="J68" s="50">
        <f>AI27</f>
        <v>1345.7143333333333</v>
      </c>
      <c r="K68" s="50"/>
      <c r="L68" s="6"/>
      <c r="M68" s="6"/>
      <c r="N68" s="6"/>
      <c r="V68" s="7"/>
      <c r="W68" s="7"/>
      <c r="X68" s="7">
        <v>2029</v>
      </c>
      <c r="Y68">
        <f t="shared" si="3"/>
        <v>0</v>
      </c>
      <c r="Z68">
        <f t="shared" si="4"/>
        <v>0</v>
      </c>
      <c r="AA68">
        <f t="shared" si="5"/>
        <v>0</v>
      </c>
      <c r="AB68">
        <f t="shared" si="6"/>
        <v>0</v>
      </c>
      <c r="AC68">
        <f t="shared" si="7"/>
        <v>39600</v>
      </c>
      <c r="AD68">
        <f t="shared" si="8"/>
        <v>39600</v>
      </c>
      <c r="AF68" s="30">
        <v>12</v>
      </c>
      <c r="AG68" s="4" t="s">
        <v>86</v>
      </c>
    </row>
    <row r="69" spans="1:34" ht="15.75">
      <c r="A69" s="39"/>
      <c r="B69" s="39"/>
      <c r="C69" s="39"/>
      <c r="D69" s="6" t="s">
        <v>87</v>
      </c>
      <c r="E69" s="6"/>
      <c r="F69" s="6"/>
      <c r="G69" s="6"/>
      <c r="H69" s="6"/>
      <c r="I69" s="6"/>
      <c r="J69" s="50">
        <f>AG37</f>
        <v>471.70284480000004</v>
      </c>
      <c r="K69" s="50"/>
      <c r="L69" s="6"/>
      <c r="M69" s="6"/>
      <c r="N69" s="6"/>
      <c r="V69" s="7"/>
      <c r="W69" s="7"/>
      <c r="X69" s="7">
        <v>2030</v>
      </c>
      <c r="Y69">
        <f t="shared" si="3"/>
        <v>0</v>
      </c>
      <c r="Z69">
        <f t="shared" si="4"/>
        <v>0</v>
      </c>
      <c r="AA69">
        <f t="shared" si="5"/>
        <v>0</v>
      </c>
      <c r="AB69">
        <f t="shared" si="6"/>
        <v>0</v>
      </c>
      <c r="AC69">
        <f t="shared" si="7"/>
        <v>39600</v>
      </c>
      <c r="AD69">
        <f t="shared" si="8"/>
        <v>39600</v>
      </c>
    </row>
    <row r="70" spans="1:34" ht="15.75">
      <c r="A70" s="39"/>
      <c r="B70" s="39"/>
      <c r="C70" s="39"/>
      <c r="D70" s="6" t="s">
        <v>88</v>
      </c>
      <c r="E70" s="6"/>
      <c r="F70" s="6"/>
      <c r="G70" s="6"/>
      <c r="H70" s="6"/>
      <c r="I70" s="6"/>
      <c r="J70" s="51">
        <f>AK61</f>
        <v>3.0721013999999998</v>
      </c>
      <c r="K70" s="51"/>
      <c r="L70" s="6"/>
      <c r="M70" s="6"/>
      <c r="N70" s="6"/>
      <c r="V70" s="7"/>
      <c r="W70" s="7"/>
      <c r="X70" s="7">
        <v>2031</v>
      </c>
      <c r="Y70">
        <f t="shared" si="3"/>
        <v>0</v>
      </c>
      <c r="Z70">
        <f t="shared" si="4"/>
        <v>0</v>
      </c>
      <c r="AA70">
        <f t="shared" si="5"/>
        <v>0</v>
      </c>
      <c r="AB70">
        <f t="shared" si="6"/>
        <v>0</v>
      </c>
      <c r="AC70">
        <f t="shared" si="7"/>
        <v>39600</v>
      </c>
      <c r="AD70">
        <f t="shared" si="8"/>
        <v>39600</v>
      </c>
      <c r="AF70" t="s">
        <v>89</v>
      </c>
      <c r="AG70" s="2">
        <f>(1+F76)*365.25</f>
        <v>285.04731089414577</v>
      </c>
    </row>
    <row r="71" spans="1:34" ht="15.75">
      <c r="A71" s="39"/>
      <c r="B71" s="39"/>
      <c r="C71" s="39"/>
      <c r="D71" s="6"/>
      <c r="E71" s="6"/>
      <c r="F71" s="39"/>
      <c r="G71" s="6" t="s">
        <v>90</v>
      </c>
      <c r="H71" s="6"/>
      <c r="I71" s="38">
        <f>J68+J69</f>
        <v>1817.4171781333334</v>
      </c>
      <c r="J71" s="45" t="s">
        <v>91</v>
      </c>
      <c r="K71" s="45"/>
      <c r="L71" s="6"/>
      <c r="M71" s="6"/>
      <c r="N71" s="6"/>
      <c r="V71" s="7"/>
      <c r="W71" s="7"/>
      <c r="X71" s="7">
        <v>2032</v>
      </c>
      <c r="Y71">
        <f t="shared" si="3"/>
        <v>0</v>
      </c>
      <c r="Z71">
        <f t="shared" si="4"/>
        <v>0</v>
      </c>
      <c r="AA71">
        <f t="shared" si="5"/>
        <v>0</v>
      </c>
      <c r="AB71">
        <f t="shared" si="6"/>
        <v>0</v>
      </c>
      <c r="AC71">
        <f t="shared" si="7"/>
        <v>39600</v>
      </c>
      <c r="AD71">
        <f t="shared" si="8"/>
        <v>39600</v>
      </c>
      <c r="AF71" t="s">
        <v>92</v>
      </c>
      <c r="AG71" s="2">
        <f>AG70/30.5</f>
        <v>9.3458134719392056</v>
      </c>
      <c r="AH71" s="8">
        <f>INT(AG71)</f>
        <v>9</v>
      </c>
    </row>
    <row r="72" spans="1:34">
      <c r="A72" s="39"/>
      <c r="B72" s="39"/>
      <c r="C72" s="39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V72" s="7"/>
      <c r="W72" s="7"/>
      <c r="X72" s="7">
        <v>2033</v>
      </c>
      <c r="Y72">
        <f t="shared" si="3"/>
        <v>0</v>
      </c>
      <c r="Z72">
        <f t="shared" si="4"/>
        <v>0</v>
      </c>
      <c r="AA72">
        <f t="shared" si="5"/>
        <v>0</v>
      </c>
      <c r="AB72">
        <f t="shared" si="6"/>
        <v>0</v>
      </c>
      <c r="AC72">
        <f t="shared" si="7"/>
        <v>39600</v>
      </c>
      <c r="AD72">
        <f t="shared" si="8"/>
        <v>39600</v>
      </c>
      <c r="AF72" t="s">
        <v>93</v>
      </c>
      <c r="AH72" s="2">
        <f>AG70-AH71*30.5</f>
        <v>10.547310894145767</v>
      </c>
    </row>
    <row r="73" spans="1:34">
      <c r="A73" s="39"/>
      <c r="B73" s="39"/>
      <c r="C73" s="39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/>
      <c r="V73" s="7"/>
      <c r="W73" s="7"/>
      <c r="X73" s="7">
        <v>2034</v>
      </c>
      <c r="Y73">
        <f t="shared" si="3"/>
        <v>0</v>
      </c>
      <c r="Z73">
        <f t="shared" si="4"/>
        <v>0</v>
      </c>
      <c r="AA73">
        <f t="shared" si="5"/>
        <v>0</v>
      </c>
      <c r="AB73">
        <f t="shared" si="6"/>
        <v>0</v>
      </c>
      <c r="AC73">
        <f t="shared" si="7"/>
        <v>39600</v>
      </c>
      <c r="AD73">
        <f t="shared" si="8"/>
        <v>39600</v>
      </c>
      <c r="AG73" s="8">
        <f>ROUNDUP(AH72,0)</f>
        <v>11</v>
      </c>
      <c r="AH73" s="8" t="str">
        <f>VLOOKUP(1+AH71,AF57:AG68,2)</f>
        <v>octobre</v>
      </c>
    </row>
    <row r="74" spans="1:34" ht="15.75">
      <c r="A74" s="6"/>
      <c r="B74" s="39"/>
      <c r="C74" s="39"/>
      <c r="D74" s="6" t="s">
        <v>94</v>
      </c>
      <c r="E74" s="6"/>
      <c r="F74" s="6"/>
      <c r="G74" s="6"/>
      <c r="H74" s="6"/>
      <c r="I74" s="38">
        <f>AG55</f>
        <v>1418.3432700882502</v>
      </c>
      <c r="J74" s="45" t="s">
        <v>91</v>
      </c>
      <c r="K74" s="45"/>
      <c r="L74" s="6"/>
      <c r="M74" s="6"/>
      <c r="N74" s="6"/>
      <c r="V74" s="7"/>
      <c r="W74" s="7"/>
      <c r="X74" s="7">
        <v>2035</v>
      </c>
      <c r="Y74">
        <f t="shared" si="3"/>
        <v>0</v>
      </c>
      <c r="Z74">
        <f t="shared" si="4"/>
        <v>0</v>
      </c>
      <c r="AA74">
        <f t="shared" si="5"/>
        <v>0</v>
      </c>
      <c r="AB74">
        <f t="shared" si="6"/>
        <v>0</v>
      </c>
      <c r="AC74">
        <f t="shared" si="7"/>
        <v>39600</v>
      </c>
      <c r="AD74">
        <f t="shared" si="8"/>
        <v>39600</v>
      </c>
    </row>
    <row r="75" spans="1:34">
      <c r="A75" s="6"/>
      <c r="B75" s="39"/>
      <c r="C75" s="39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V75" s="7"/>
      <c r="W75" s="7"/>
      <c r="X75" s="7">
        <v>2036</v>
      </c>
      <c r="Y75">
        <f t="shared" si="3"/>
        <v>0</v>
      </c>
      <c r="Z75">
        <f t="shared" si="4"/>
        <v>0</v>
      </c>
      <c r="AA75">
        <f t="shared" si="5"/>
        <v>0</v>
      </c>
      <c r="AB75">
        <f t="shared" si="6"/>
        <v>0</v>
      </c>
      <c r="AC75">
        <f t="shared" si="7"/>
        <v>39600</v>
      </c>
      <c r="AD75">
        <f t="shared" si="8"/>
        <v>39600</v>
      </c>
    </row>
    <row r="76" spans="1:34" ht="15.75">
      <c r="A76" s="10" t="s">
        <v>95</v>
      </c>
      <c r="B76" s="6"/>
      <c r="C76" s="46">
        <f>I71-I74</f>
        <v>399.07390804508327</v>
      </c>
      <c r="D76" s="46"/>
      <c r="E76" s="15" t="s">
        <v>34</v>
      </c>
      <c r="F76" s="40">
        <f>-(I71-I74)/I71</f>
        <v>-0.21958299549857424</v>
      </c>
      <c r="G76" s="6"/>
      <c r="H76" s="6"/>
      <c r="I76" s="6"/>
      <c r="J76" s="6"/>
      <c r="K76" s="6"/>
      <c r="L76" s="6"/>
      <c r="M76" s="6"/>
      <c r="N76" s="6"/>
      <c r="V76" s="7"/>
      <c r="W76" s="7"/>
      <c r="X76" s="7">
        <v>2037</v>
      </c>
      <c r="Y76">
        <f t="shared" si="3"/>
        <v>0</v>
      </c>
      <c r="Z76">
        <f t="shared" si="4"/>
        <v>0</v>
      </c>
      <c r="AA76">
        <f t="shared" si="5"/>
        <v>0</v>
      </c>
      <c r="AB76">
        <f t="shared" si="6"/>
        <v>0</v>
      </c>
      <c r="AC76">
        <f t="shared" si="7"/>
        <v>0</v>
      </c>
      <c r="AD76">
        <f t="shared" si="8"/>
        <v>0</v>
      </c>
    </row>
    <row r="77" spans="1:34" ht="15.75">
      <c r="A77" s="10" t="s">
        <v>96</v>
      </c>
      <c r="B77" s="6"/>
      <c r="C77" s="39"/>
      <c r="D77" s="39"/>
      <c r="E77" s="39"/>
      <c r="F77" s="39"/>
      <c r="G77" s="10"/>
      <c r="H77" s="41">
        <f>ROUNDUP((1+F76)*12,1)</f>
        <v>9.4</v>
      </c>
      <c r="I77" s="10" t="s">
        <v>12</v>
      </c>
      <c r="J77" s="42" t="s">
        <v>98</v>
      </c>
      <c r="K77" s="39"/>
      <c r="L77" s="41">
        <f>12-H77</f>
        <v>2.5999999999999996</v>
      </c>
      <c r="M77" s="10" t="s">
        <v>99</v>
      </c>
      <c r="N77" s="39"/>
      <c r="V77" s="7"/>
      <c r="W77" s="7"/>
      <c r="X77" s="7">
        <v>2038</v>
      </c>
      <c r="Y77">
        <f t="shared" si="3"/>
        <v>0</v>
      </c>
      <c r="Z77">
        <f t="shared" si="4"/>
        <v>0</v>
      </c>
      <c r="AA77">
        <f t="shared" si="5"/>
        <v>0</v>
      </c>
      <c r="AB77">
        <f t="shared" si="6"/>
        <v>0</v>
      </c>
      <c r="AC77">
        <f t="shared" si="7"/>
        <v>0</v>
      </c>
      <c r="AD77">
        <f t="shared" si="8"/>
        <v>0</v>
      </c>
    </row>
    <row r="78" spans="1:34" ht="15.75">
      <c r="A78" s="10" t="s">
        <v>97</v>
      </c>
      <c r="B78" s="6"/>
      <c r="C78" s="6"/>
      <c r="D78" s="6"/>
      <c r="E78" s="39"/>
      <c r="F78" s="41">
        <f>AG73</f>
        <v>11</v>
      </c>
      <c r="G78" s="47" t="str">
        <f>AH73</f>
        <v>octobre</v>
      </c>
      <c r="H78" s="47"/>
      <c r="I78" s="10" t="s">
        <v>100</v>
      </c>
      <c r="J78" s="6"/>
      <c r="K78" s="39"/>
      <c r="L78" s="39"/>
      <c r="M78" s="39"/>
      <c r="N78" s="39"/>
      <c r="V78" s="7"/>
      <c r="W78" s="7"/>
      <c r="X78" s="7">
        <v>2039</v>
      </c>
      <c r="Y78">
        <f t="shared" si="3"/>
        <v>0</v>
      </c>
      <c r="Z78">
        <f t="shared" si="4"/>
        <v>0</v>
      </c>
      <c r="AA78">
        <f t="shared" si="5"/>
        <v>0</v>
      </c>
      <c r="AB78">
        <f t="shared" si="6"/>
        <v>0</v>
      </c>
      <c r="AC78">
        <f t="shared" si="7"/>
        <v>0</v>
      </c>
      <c r="AD78">
        <f t="shared" si="8"/>
        <v>0</v>
      </c>
    </row>
    <row r="79" spans="1:34" ht="15.75">
      <c r="A79" s="6"/>
      <c r="B79" s="10"/>
      <c r="C79" s="10"/>
      <c r="D79" s="10"/>
      <c r="E79" s="43"/>
      <c r="F79" s="39"/>
      <c r="G79" s="39"/>
      <c r="H79" s="39"/>
      <c r="I79" s="39"/>
      <c r="J79" s="39"/>
      <c r="K79" s="6"/>
      <c r="L79" s="6"/>
      <c r="M79" s="6"/>
      <c r="N79" s="6"/>
      <c r="V79" s="7"/>
      <c r="W79" s="7"/>
      <c r="X79" s="7">
        <v>2040</v>
      </c>
      <c r="Y79">
        <f t="shared" si="3"/>
        <v>0</v>
      </c>
      <c r="Z79">
        <f t="shared" si="4"/>
        <v>0</v>
      </c>
      <c r="AA79">
        <f t="shared" si="5"/>
        <v>0</v>
      </c>
      <c r="AB79">
        <f t="shared" si="6"/>
        <v>0</v>
      </c>
      <c r="AC79">
        <f t="shared" si="7"/>
        <v>0</v>
      </c>
      <c r="AD79">
        <f t="shared" si="8"/>
        <v>0</v>
      </c>
    </row>
    <row r="80" spans="1:34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AB80" s="44">
        <f>SUM(AB2:AB79)</f>
        <v>509865.79800000001</v>
      </c>
      <c r="AC80" s="44">
        <f>SUM(AC2:AC79)</f>
        <v>712800</v>
      </c>
      <c r="AD80" s="44">
        <f>SUM(AD2:AD79)</f>
        <v>1222665.798</v>
      </c>
    </row>
  </sheetData>
  <sheetProtection selectLockedCells="1" selectUnlockedCells="1"/>
  <mergeCells count="58">
    <mergeCell ref="G23:J23"/>
    <mergeCell ref="G6:H6"/>
    <mergeCell ref="G8:H8"/>
    <mergeCell ref="G14:J14"/>
    <mergeCell ref="G15:J15"/>
    <mergeCell ref="G16:J16"/>
    <mergeCell ref="G17:J17"/>
    <mergeCell ref="G18:J18"/>
    <mergeCell ref="G19:J19"/>
    <mergeCell ref="G20:J20"/>
    <mergeCell ref="G21:J21"/>
    <mergeCell ref="G22:J22"/>
    <mergeCell ref="G35:J35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47:J47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G46:J46"/>
    <mergeCell ref="G59:J59"/>
    <mergeCell ref="G48:J48"/>
    <mergeCell ref="G49:J49"/>
    <mergeCell ref="G50:J50"/>
    <mergeCell ref="G51:J51"/>
    <mergeCell ref="G52:J52"/>
    <mergeCell ref="G53:J53"/>
    <mergeCell ref="G54:J54"/>
    <mergeCell ref="G55:J55"/>
    <mergeCell ref="G56:J56"/>
    <mergeCell ref="G57:J57"/>
    <mergeCell ref="G58:J58"/>
    <mergeCell ref="J71:K71"/>
    <mergeCell ref="J74:K74"/>
    <mergeCell ref="C76:D76"/>
    <mergeCell ref="G78:H78"/>
    <mergeCell ref="G60:J60"/>
    <mergeCell ref="F63:H63"/>
    <mergeCell ref="F64:H64"/>
    <mergeCell ref="J68:K68"/>
    <mergeCell ref="J69:K69"/>
    <mergeCell ref="J70:K70"/>
  </mergeCells>
  <dataValidations count="8">
    <dataValidation type="list" operator="equal" showErrorMessage="1" error="Vous devez entrer un nombre entier entre 1 et 31" prompt="Entrez un nombre entier entre 1 et 31" sqref="G4">
      <formula1>Jour</formula1>
    </dataValidation>
    <dataValidation type="list" operator="equal" showErrorMessage="1" error="Vous devez entrer un nombre entre 1 et 12" sqref="I4">
      <formula1>Mois</formula1>
    </dataValidation>
    <dataValidation operator="equal" allowBlank="1" showErrorMessage="1" sqref="K4 G6 J6">
      <formula1>0</formula1>
      <formula2>0</formula2>
    </dataValidation>
    <dataValidation type="whole" operator="lessThanOrEqual" showErrorMessage="1" sqref="G8 C15:C60">
      <formula1>2019</formula1>
      <formula2>0</formula2>
    </dataValidation>
    <dataValidation type="decimal" operator="greaterThanOrEqual" showErrorMessage="1" error="Saisir un nombre" sqref="E15:E60 H63">
      <formula1>0</formula1>
      <formula2>0</formula2>
    </dataValidation>
    <dataValidation type="decimal" operator="greaterThanOrEqual" allowBlank="1" showErrorMessage="1" error="Saisir un nombre" sqref="G15:G60">
      <formula1>0</formula1>
      <formula2>0</formula2>
    </dataValidation>
    <dataValidation type="list" operator="equal" allowBlank="1" showErrorMessage="1" error="Choisissez un âge entier entre 62 et 67" sqref="F62">
      <formula1>âge</formula1>
    </dataValidation>
    <dataValidation operator="equal" allowBlank="1" showErrorMessage="1" error="Choisissez un âge entier entre 62 et 67" sqref="F63:F64">
      <formula1>0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Mode-emploi</vt:lpstr>
      <vt:lpstr>Saisie</vt:lpstr>
      <vt:lpstr>âge</vt:lpstr>
      <vt:lpstr>Jour</vt:lpstr>
      <vt:lpstr>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herve.lelourec herve.lelourec</dc:creator>
  <cp:lastModifiedBy>herve.lelourec herve.lelourec</cp:lastModifiedBy>
  <dcterms:created xsi:type="dcterms:W3CDTF">2019-11-12T23:24:31Z</dcterms:created>
  <dcterms:modified xsi:type="dcterms:W3CDTF">2019-12-04T15:46:56Z</dcterms:modified>
</cp:coreProperties>
</file>